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Band" sheetId="2" state="visible" r:id="rId2"/>
    <sheet xmlns:r="http://schemas.openxmlformats.org/officeDocument/2006/relationships" name="Q_20m" sheetId="3" state="visible" r:id="rId3"/>
    <sheet xmlns:r="http://schemas.openxmlformats.org/officeDocument/2006/relationships" name="Q_35m" sheetId="4" state="visible" r:id="rId4"/>
    <sheet xmlns:r="http://schemas.openxmlformats.org/officeDocument/2006/relationships" name="Q_50m" sheetId="5" state="visible" r:id="rId5"/>
    <sheet xmlns:r="http://schemas.openxmlformats.org/officeDocument/2006/relationships" name="Carry_Hurdl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DCE9F5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3" fontId="0" fillId="3" borderId="1" pivotButton="0" quotePrefix="0" xfId="0"/>
    <xf numFmtId="1" fontId="0" fillId="3" borderId="1" pivotButton="0" quotePrefix="0" xfId="0"/>
    <xf numFmtId="3" fontId="3" fillId="4" borderId="1" pivotButton="0" quotePrefix="0" xfId="0"/>
    <xf numFmtId="10" fontId="0" fillId="3" borderId="1" pivotButton="0" quotePrefix="0" xfId="0"/>
    <xf numFmtId="0" fontId="3" fillId="0" borderId="0" pivotButton="0" quotePrefix="0" xfId="0"/>
    <xf numFmtId="3" fontId="0" fillId="4" borderId="1" pivotButton="0" quotePrefix="0" xfId="0"/>
    <xf numFmtId="0" fontId="0" fillId="4" borderId="1" applyAlignment="1" pivotButton="0" quotePrefix="0" xfId="0">
      <alignment horizontal="center"/>
    </xf>
    <xf numFmtId="3" fontId="0" fillId="0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2" fillId="2" borderId="1" applyAlignment="1" pivotButton="0" quotePrefix="0" xfId="0">
      <alignment vertical="bottom" wrapText="1"/>
    </xf>
    <xf numFmtId="3" fontId="0" fillId="0" borderId="0" pivotButton="0" quotePrefix="0" xfId="0"/>
    <xf numFmtId="2" fontId="0" fillId="0" borderId="0" pivotButton="0" quotePrefix="0" xfId="0"/>
    <xf numFmtId="3" fontId="3" fillId="0" borderId="0" pivotButton="0" quotePrefix="0" xfId="0"/>
    <xf numFmtId="164" fontId="0" fillId="0" borderId="0" pivotButton="0" quotePrefix="0" xfId="0"/>
    <xf numFmtId="10" fontId="0" fillId="3" borderId="0" pivotButton="0" quotePrefix="0" xfId="0"/>
    <xf numFmtId="0" fontId="0" fillId="3" borderId="0" pivotButton="0" quotePrefix="0" xfId="0"/>
    <xf numFmtId="0" fontId="2" fillId="2" borderId="1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2" customWidth="1" min="1" max="1"/>
    <col width="58" customWidth="1" min="2" max="2"/>
    <col width="16" customWidth="1" min="3" max="3"/>
    <col width="16" customWidth="1" min="4" max="4"/>
    <col width="16" customWidth="1" min="5" max="5"/>
    <col width="76" customWidth="1" min="6" max="6"/>
  </cols>
  <sheetData>
    <row r="1">
      <c r="A1" s="1" t="inlineStr">
        <is>
          <t>Diptych Capital Fund I — GP / management-company cash-flow model (v3)</t>
        </is>
      </c>
    </row>
    <row r="2">
      <c r="A2" t="inlineStr">
        <is>
          <t>Target fund size band EUR 20–50m (Ramon, 2026-09-07). The three scenarios are the floor, the midpoint and the ceiling of that band; every downstream sheet is computed for all three at once.</t>
        </is>
      </c>
    </row>
    <row r="3">
      <c r="A3" t="inlineStr">
        <is>
          <t>EUR. Quarter 0 = pre-close. Management fee is charged quarterly in advance. Blue cells are inputs — everything else is a live formula.</t>
        </is>
      </c>
    </row>
    <row r="5">
      <c r="B5" s="2" t="inlineStr">
        <is>
          <t>Assumption</t>
        </is>
      </c>
      <c r="C5" s="2" t="inlineStr">
        <is>
          <t>Floor — 20m</t>
        </is>
      </c>
      <c r="D5" s="2" t="inlineStr">
        <is>
          <t>Base — 35m</t>
        </is>
      </c>
      <c r="E5" s="2" t="inlineStr">
        <is>
          <t>Ceiling — 50m</t>
        </is>
      </c>
      <c r="F5" s="2" t="inlineStr">
        <is>
          <t>Note</t>
        </is>
      </c>
    </row>
    <row r="6">
      <c r="B6" t="inlineStr">
        <is>
          <t>First close commitments</t>
        </is>
      </c>
      <c r="C6" s="3" t="n">
        <v>20000000</v>
      </c>
      <c r="D6" s="3" t="n">
        <v>25000000</v>
      </c>
      <c r="E6" s="3" t="n">
        <v>35000000</v>
      </c>
      <c r="F6" t="inlineStr">
        <is>
          <t>Floor case first-closes at the LPA minimum and never grows; base and ceiling first-close at ~70% of target</t>
        </is>
      </c>
    </row>
    <row r="7">
      <c r="B7" t="inlineStr">
        <is>
          <t>Subsequent close commitments</t>
        </is>
      </c>
      <c r="C7" s="3" t="n">
        <v>0</v>
      </c>
      <c r="D7" s="3" t="n">
        <v>10000000</v>
      </c>
      <c r="E7" s="3" t="n">
        <v>15000000</v>
      </c>
      <c r="F7" t="inlineStr">
        <is>
          <t>One subsequent closing assumed</t>
        </is>
      </c>
    </row>
    <row r="8">
      <c r="B8" t="inlineStr">
        <is>
          <t>Quarters from first to final close</t>
        </is>
      </c>
      <c r="C8" s="4" t="n">
        <v>0</v>
      </c>
      <c r="D8" s="4" t="n">
        <v>3</v>
      </c>
      <c r="E8" s="4" t="n">
        <v>3</v>
      </c>
      <c r="F8" t="inlineStr">
        <is>
          <t>3 = nine months; 0 = single closing</t>
        </is>
      </c>
    </row>
    <row r="9">
      <c r="B9" t="inlineStr">
        <is>
          <t>Total commitments</t>
        </is>
      </c>
      <c r="C9" s="5">
        <f>C6+C7</f>
        <v/>
      </c>
      <c r="D9" s="5">
        <f>D6+D7</f>
        <v/>
      </c>
      <c r="E9" s="5">
        <f>E6+E7</f>
        <v/>
      </c>
      <c r="F9" t="inlineStr">
        <is>
          <t>Formula = first + subsequent</t>
        </is>
      </c>
    </row>
    <row r="10">
      <c r="B10" t="inlineStr">
        <is>
          <t>Fee rate during investment period (on committed capital)</t>
        </is>
      </c>
      <c r="C10" s="6" t="n">
        <v>0.025</v>
      </c>
      <c r="D10" s="6" t="n">
        <v>0.025</v>
      </c>
      <c r="E10" s="6" t="n">
        <v>0.025</v>
      </c>
      <c r="F10" t="inlineStr">
        <is>
          <t>Agreed term 2.5%</t>
        </is>
      </c>
    </row>
    <row r="11">
      <c r="B11" t="inlineStr">
        <is>
          <t>Fee rate after investment period (on invested cost)</t>
        </is>
      </c>
      <c r="C11" s="6" t="n">
        <v>0.02</v>
      </c>
      <c r="D11" s="6" t="n">
        <v>0.02</v>
      </c>
      <c r="E11" s="6" t="n">
        <v>0.02</v>
      </c>
      <c r="F11" t="inlineStr">
        <is>
          <t>Step-down: rate to 2.0%, basis to invested cost</t>
        </is>
      </c>
    </row>
    <row r="12">
      <c r="B12" t="inlineStr">
        <is>
          <t>Investment period (quarters)</t>
        </is>
      </c>
      <c r="C12" s="4" t="n">
        <v>20</v>
      </c>
      <c r="D12" s="4" t="n">
        <v>20</v>
      </c>
      <c r="E12" s="4" t="n">
        <v>20</v>
      </c>
      <c r="F12" t="inlineStr">
        <is>
          <t>5 years</t>
        </is>
      </c>
    </row>
    <row r="13">
      <c r="B13" t="inlineStr">
        <is>
          <t>Fund term (quarters)</t>
        </is>
      </c>
      <c r="C13" s="4" t="n">
        <v>40</v>
      </c>
      <c r="D13" s="4" t="n">
        <v>40</v>
      </c>
      <c r="E13" s="4" t="n">
        <v>40</v>
      </c>
      <c r="F13" t="inlineStr">
        <is>
          <t>10 years</t>
        </is>
      </c>
    </row>
    <row r="14">
      <c r="B14" t="inlineStr">
        <is>
          <t>Equalisation interest rate p.a.</t>
        </is>
      </c>
      <c r="C14" s="6" t="n">
        <v>0.08</v>
      </c>
      <c r="D14" s="6" t="n">
        <v>0.08</v>
      </c>
      <c r="E14" s="6" t="n">
        <v>0.08</v>
      </c>
      <c r="F14" t="inlineStr">
        <is>
          <t>Paid by later-closing LPs</t>
        </is>
      </c>
    </row>
    <row r="15">
      <c r="B15" t="inlineStr">
        <is>
          <t>Organisational expenses incurred by GP</t>
        </is>
      </c>
      <c r="C15" s="3" t="n">
        <v>220000</v>
      </c>
      <c r="D15" s="3" t="n">
        <v>240000</v>
      </c>
      <c r="E15" s="3" t="n">
        <v>260000</v>
      </c>
      <c r="F15" t="inlineStr">
        <is>
          <t>Replace with lawyer quotes</t>
        </is>
      </c>
    </row>
    <row r="16">
      <c r="B16" t="inlineStr">
        <is>
          <t>of which paid before first close</t>
        </is>
      </c>
      <c r="C16" s="3" t="n">
        <v>50000</v>
      </c>
      <c r="D16" s="3" t="n">
        <v>50000</v>
      </c>
      <c r="E16" s="3" t="n">
        <v>50000</v>
      </c>
      <c r="F16" t="inlineStr">
        <is>
          <t>Non-deferred part</t>
        </is>
      </c>
    </row>
    <row r="17">
      <c r="B17" t="inlineStr">
        <is>
          <t>Org. expense cap (% of total commitments)</t>
        </is>
      </c>
      <c r="C17" s="6" t="n">
        <v>0.0075</v>
      </c>
      <c r="D17" s="6" t="n">
        <v>0.006</v>
      </c>
      <c r="E17" s="6" t="n">
        <v>0.005</v>
      </c>
      <c r="F17" t="inlineStr">
        <is>
          <t>Reimbursed at first close; topped up at final close</t>
        </is>
      </c>
    </row>
    <row r="18">
      <c r="B18" t="inlineStr">
        <is>
          <t>Fund expenses p.a. (borne by fund; memo)</t>
        </is>
      </c>
      <c r="C18" s="3" t="n">
        <v>90000</v>
      </c>
      <c r="D18" s="3" t="n">
        <v>100000</v>
      </c>
      <c r="E18" s="3" t="n">
        <v>115000</v>
      </c>
      <c r="F18" t="inlineStr">
        <is>
          <t>Admin; audit; AML officer; legal; tax</t>
        </is>
      </c>
    </row>
    <row r="19">
      <c r="B19" t="inlineStr">
        <is>
          <t>Reserve for fees &amp; expenses (% not invested)</t>
        </is>
      </c>
      <c r="C19" s="6" t="n">
        <v>0.18</v>
      </c>
      <c r="D19" s="6" t="n">
        <v>0.18</v>
      </c>
      <c r="E19" s="6" t="n">
        <v>0.18</v>
      </c>
      <c r="F19" t="inlineStr">
        <is>
          <t>Fee load about 18% at 2.5%/2.0%</t>
        </is>
      </c>
    </row>
    <row r="20">
      <c r="B20" t="inlineStr">
        <is>
          <t>Recycling: proceeds reinvested in years 3–5 as % of IP fees</t>
        </is>
      </c>
      <c r="C20" s="6" t="n">
        <v>0.5</v>
      </c>
      <c r="D20" s="6" t="n">
        <v>0.5</v>
      </c>
      <c r="E20" s="6" t="n">
        <v>0.5</v>
      </c>
      <c r="F20" t="inlineStr">
        <is>
          <t>0 = off. Recycled cost enters the post-IP fee base</t>
        </is>
      </c>
    </row>
    <row r="21">
      <c r="B21" t="inlineStr">
        <is>
          <t>GP commitment (% of total commitments)</t>
        </is>
      </c>
      <c r="C21" s="6" t="n">
        <v>0.01</v>
      </c>
      <c r="D21" s="6" t="n">
        <v>0.01</v>
      </c>
      <c r="E21" s="6" t="n">
        <v>0.01</v>
      </c>
      <c r="F21" t="inlineStr">
        <is>
          <t>Called pro rata with every drawdown</t>
        </is>
      </c>
    </row>
    <row r="22">
      <c r="B22" t="inlineStr">
        <is>
          <t>GP commitment funded by fee waiver? (1 = yes; 0 = cash)</t>
        </is>
      </c>
      <c r="C22" s="4" t="n">
        <v>0</v>
      </c>
      <c r="D22" s="4" t="n">
        <v>0</v>
      </c>
      <c r="E22" s="4" t="n">
        <v>0</v>
      </c>
      <c r="F22" t="inlineStr">
        <is>
          <t>Cash = partners' outflow; waiver = lower fee income</t>
        </is>
      </c>
    </row>
    <row r="23">
      <c r="B23" t="inlineStr">
        <is>
          <t>Exit rate per quarter after investment period</t>
        </is>
      </c>
      <c r="C23" s="6" t="n">
        <v>0.05</v>
      </c>
      <c r="D23" s="6" t="n">
        <v>0.05</v>
      </c>
      <c r="E23" s="6" t="n">
        <v>0.05</v>
      </c>
      <c r="F23" t="inlineStr">
        <is>
          <t>% of remaining cost realised</t>
        </is>
      </c>
    </row>
    <row r="24">
      <c r="B24" t="inlineStr">
        <is>
          <t>Platform fee p.a.</t>
        </is>
      </c>
      <c r="C24" s="3" t="n">
        <v>80000</v>
      </c>
      <c r="D24" s="3" t="n">
        <v>80000</v>
      </c>
      <c r="E24" s="3" t="n">
        <v>80000</v>
      </c>
      <c r="F24" t="inlineStr">
        <is>
          <t>SFC Type 9 hosting</t>
        </is>
      </c>
    </row>
    <row r="25">
      <c r="B25" t="inlineStr">
        <is>
          <t>HK staff p.a.</t>
        </is>
      </c>
      <c r="C25" s="3" t="n">
        <v>170000</v>
      </c>
      <c r="D25" s="3" t="n">
        <v>170000</v>
      </c>
      <c r="E25" s="3" t="n">
        <v>170000</v>
      </c>
      <c r="F25" t="inlineStr">
        <is>
          <t>2 FTE, or 1 relocated partner + 1 analyst</t>
        </is>
      </c>
    </row>
    <row r="26">
      <c r="B26" t="inlineStr">
        <is>
          <t>HK office p.a.</t>
        </is>
      </c>
      <c r="C26" s="3" t="n">
        <v>25000</v>
      </c>
      <c r="D26" s="3" t="n">
        <v>25000</v>
      </c>
      <c r="E26" s="3" t="n">
        <v>25000</v>
      </c>
    </row>
    <row r="27">
      <c r="B27" t="inlineStr">
        <is>
          <t>Travel p.a.</t>
        </is>
      </c>
      <c r="C27" s="3" t="n">
        <v>30000</v>
      </c>
      <c r="D27" s="3" t="n">
        <v>30000</v>
      </c>
      <c r="E27" s="3" t="n">
        <v>30000</v>
      </c>
    </row>
    <row r="28">
      <c r="B28" t="inlineStr">
        <is>
          <t>Other running costs p.a.</t>
        </is>
      </c>
      <c r="C28" s="3" t="n">
        <v>25000</v>
      </c>
      <c r="D28" s="3" t="n">
        <v>25000</v>
      </c>
      <c r="E28" s="3" t="n">
        <v>25000</v>
      </c>
      <c r="F28" t="inlineStr">
        <is>
          <t>Insurance; D&amp;O; accounting</t>
        </is>
      </c>
    </row>
    <row r="29">
      <c r="B29" t="inlineStr">
        <is>
          <t>German advisory fee p.a. (partners' remuneration)</t>
        </is>
      </c>
      <c r="C29" s="3" t="n">
        <v>100000</v>
      </c>
      <c r="D29" s="3" t="n">
        <v>180000</v>
      </c>
      <c r="E29" s="3" t="n">
        <v>280000</v>
      </c>
      <c r="F29" t="inlineStr">
        <is>
          <t>Set to what you need; watch the cash trough</t>
        </is>
      </c>
    </row>
    <row r="30">
      <c r="B30" t="inlineStr">
        <is>
          <t>Running-cost factor after investment period</t>
        </is>
      </c>
      <c r="C30" s="6" t="n">
        <v>0.6</v>
      </c>
      <c r="D30" s="6" t="n">
        <v>0.6</v>
      </c>
      <c r="E30" s="6" t="n">
        <v>0.6</v>
      </c>
      <c r="F30" t="inlineStr">
        <is>
          <t>Applies to all running costs and the advisory fee</t>
        </is>
      </c>
    </row>
    <row r="31">
      <c r="B31" t="inlineStr">
        <is>
          <t>Pre-close: platform onboarding</t>
        </is>
      </c>
      <c r="C31" s="3" t="n">
        <v>15000</v>
      </c>
      <c r="D31" s="3" t="n">
        <v>15000</v>
      </c>
      <c r="E31" s="3" t="n">
        <v>15000</v>
      </c>
    </row>
    <row r="32">
      <c r="B32" t="inlineStr">
        <is>
          <t>Pre-close: marketing; data room; LP travel</t>
        </is>
      </c>
      <c r="C32" s="3" t="n">
        <v>20000</v>
      </c>
      <c r="D32" s="3" t="n">
        <v>20000</v>
      </c>
      <c r="E32" s="3" t="n">
        <v>20000</v>
      </c>
    </row>
    <row r="34">
      <c r="B34" s="7" t="inlineStr">
        <is>
          <t>TARGET SIZE BAND (Ramon 2026-09-07)</t>
        </is>
      </c>
    </row>
    <row r="35">
      <c r="B35" t="inlineStr">
        <is>
          <t>Minimum viable fund size — below this the GP does not recover ten-year costs</t>
        </is>
      </c>
      <c r="C35" s="3" t="n">
        <v>20000000</v>
      </c>
      <c r="F35" t="inlineStr">
        <is>
          <t>The floor scenario; see the Band sheet, ten-year cumulative cash</t>
        </is>
      </c>
    </row>
    <row r="36">
      <c r="B36" t="inlineStr">
        <is>
          <t>Maximum target for fund I</t>
        </is>
      </c>
      <c r="C36" s="3" t="n">
        <v>50000000</v>
      </c>
    </row>
    <row r="37">
      <c r="B37" t="inlineStr">
        <is>
          <t>LPA minimum first closing</t>
        </is>
      </c>
      <c r="C37" s="8">
        <f>C35</f>
        <v/>
      </c>
      <c r="F37" t="inlineStr">
        <is>
          <t>Set equal to the viability floor: the fund does not come into existence below it</t>
        </is>
      </c>
    </row>
    <row r="38">
      <c r="B38" t="inlineStr">
        <is>
          <t>Soft-circle trigger before any lawyer / platform spend — 60% (left) to 70% (right) of the LPA minimum</t>
        </is>
      </c>
      <c r="C38" s="8">
        <f>C37*0.6</f>
        <v/>
      </c>
      <c r="D38" s="8">
        <f>C37*0.7</f>
        <v/>
      </c>
    </row>
    <row r="39">
      <c r="B39" t="inlineStr">
        <is>
          <t>Check: does each scenario's first close clear the LPA minimum?</t>
        </is>
      </c>
      <c r="C39" s="9">
        <f>IF(C6&gt;=$C$37,"OK","BELOW LPA MINIMUM")</f>
        <v/>
      </c>
      <c r="D39" s="9">
        <f>IF(D6&gt;=$C$37,"OK","BELOW LPA MINIMUM")</f>
        <v/>
      </c>
      <c r="E39" s="9">
        <f>IF(E6&gt;=$C$37,"OK","BELOW LPA MINIMUM")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  <col width="16" customWidth="1" min="3" max="3"/>
    <col width="16" customWidth="1" min="4" max="4"/>
    <col width="60" customWidth="1" min="5" max="5"/>
  </cols>
  <sheetData>
    <row r="1">
      <c r="A1" s="1" t="inlineStr">
        <is>
          <t>The EUR 20–50m band, side by side</t>
        </is>
      </c>
    </row>
    <row r="2">
      <c r="A2" t="inlineStr">
        <is>
          <t>Every figure below is a live formula reading the three quarterly sheets. Change an input on Assumptions and all three columns move together.</t>
        </is>
      </c>
    </row>
    <row r="4">
      <c r="A4" s="2" t="inlineStr">
        <is>
          <t>Key figure</t>
        </is>
      </c>
      <c r="B4" s="2" t="inlineStr">
        <is>
          <t>Floor 20m</t>
        </is>
      </c>
      <c r="C4" s="2" t="inlineStr">
        <is>
          <t>Base 35m</t>
        </is>
      </c>
      <c r="D4" s="2" t="inlineStr">
        <is>
          <t>Ceiling 50m</t>
        </is>
      </c>
      <c r="E4" s="2" t="inlineStr">
        <is>
          <t>Comment</t>
        </is>
      </c>
    </row>
    <row r="5">
      <c r="A5" t="inlineStr">
        <is>
          <t>Total commitments</t>
        </is>
      </c>
      <c r="B5" s="10">
        <f>Q_20m!B49</f>
        <v/>
      </c>
      <c r="C5" s="10">
        <f>Q_35m!B49</f>
        <v/>
      </c>
      <c r="D5" s="10">
        <f>Q_50m!B49</f>
        <v/>
      </c>
      <c r="E5" t="inlineStr"/>
    </row>
    <row r="6">
      <c r="A6" t="inlineStr">
        <is>
          <t>First close commitments</t>
        </is>
      </c>
      <c r="B6" s="10">
        <f>Assumptions!$C$6</f>
        <v/>
      </c>
      <c r="C6" s="10">
        <f>Assumptions!$D$6</f>
        <v/>
      </c>
      <c r="D6" s="10">
        <f>Assumptions!$E$6</f>
        <v/>
      </c>
      <c r="E6" t="inlineStr">
        <is>
          <t>Floor closes once at the LPA minimum</t>
        </is>
      </c>
    </row>
    <row r="7">
      <c r="A7" t="inlineStr">
        <is>
          <t>Cash received on first-close day</t>
        </is>
      </c>
      <c r="B7" s="10">
        <f>Q_20m!B59</f>
        <v/>
      </c>
      <c r="C7" s="10">
        <f>Q_35m!B59</f>
        <v/>
      </c>
      <c r="D7" s="10">
        <f>Q_50m!B59</f>
        <v/>
      </c>
      <c r="E7" t="inlineStr">
        <is>
          <t>Stub fee + capped organisational reimbursement</t>
        </is>
      </c>
    </row>
    <row r="8">
      <c r="A8" t="inlineStr">
        <is>
          <t>Steady-state quarterly management fee</t>
        </is>
      </c>
      <c r="B8" s="10">
        <f>Q_20m!B60</f>
        <v/>
      </c>
      <c r="C8" s="10">
        <f>Q_35m!B60</f>
        <v/>
      </c>
      <c r="D8" s="10">
        <f>Q_50m!B60</f>
        <v/>
      </c>
      <c r="E8" t="inlineStr">
        <is>
          <t>After the final close, during the investment period</t>
        </is>
      </c>
    </row>
    <row r="9">
      <c r="A9" t="inlineStr">
        <is>
          <t>Lowest cumulative cash (investment period)</t>
        </is>
      </c>
      <c r="B9" s="10">
        <f>Q_20m!B61</f>
        <v/>
      </c>
      <c r="C9" s="10">
        <f>Q_35m!B61</f>
        <v/>
      </c>
      <c r="D9" s="10">
        <f>Q_50m!B61</f>
        <v/>
      </c>
      <c r="E9" t="inlineStr">
        <is>
          <t>How much the partners must front</t>
        </is>
      </c>
    </row>
    <row r="10">
      <c r="A10" t="inlineStr">
        <is>
          <t>Quarter of that low point</t>
        </is>
      </c>
      <c r="B10" s="11">
        <f>Q_20m!B62</f>
        <v/>
      </c>
      <c r="C10" s="11">
        <f>Q_35m!B62</f>
        <v/>
      </c>
      <c r="D10" s="11">
        <f>Q_50m!B62</f>
        <v/>
      </c>
      <c r="E10" t="inlineStr"/>
    </row>
    <row r="11">
      <c r="A11" t="inlineStr">
        <is>
          <t>Cumulative cash at end of year 10</t>
        </is>
      </c>
      <c r="B11" s="10">
        <f>Q_20m!B64</f>
        <v/>
      </c>
      <c r="C11" s="10">
        <f>Q_35m!B64</f>
        <v/>
      </c>
      <c r="D11" s="10">
        <f>Q_50m!B64</f>
        <v/>
      </c>
      <c r="E11" t="inlineStr">
        <is>
          <t>The number that decides whether the size works</t>
        </is>
      </c>
    </row>
    <row r="12">
      <c r="A12" t="inlineStr">
        <is>
          <t>Total management fees over fund life</t>
        </is>
      </c>
      <c r="B12" s="10">
        <f>Q_20m!B50</f>
        <v/>
      </c>
      <c r="C12" s="10">
        <f>Q_35m!B50</f>
        <v/>
      </c>
      <c r="D12" s="10">
        <f>Q_50m!B50</f>
        <v/>
      </c>
      <c r="E12" t="inlineStr"/>
    </row>
    <row r="13">
      <c r="A13" t="inlineStr">
        <is>
          <t>Management fees as % of commitments</t>
        </is>
      </c>
      <c r="B13" s="12">
        <f>Q_20m!B51</f>
        <v/>
      </c>
      <c r="C13" s="12">
        <f>Q_35m!B51</f>
        <v/>
      </c>
      <c r="D13" s="12">
        <f>Q_50m!B51</f>
        <v/>
      </c>
      <c r="E13" t="inlineStr">
        <is>
          <t>Flat across the band — fee load is a rate, not a size effect</t>
        </is>
      </c>
    </row>
    <row r="14">
      <c r="A14" t="inlineStr">
        <is>
          <t>Fund expenses as % of commitments</t>
        </is>
      </c>
      <c r="B14" s="12">
        <f>Q_20m!B52/Q_20m!B49</f>
        <v/>
      </c>
      <c r="C14" s="12">
        <f>Q_35m!B52/Q_35m!B49</f>
        <v/>
      </c>
      <c r="D14" s="12">
        <f>Q_50m!B52/Q_50m!B49</f>
        <v/>
      </c>
      <c r="E14" t="inlineStr">
        <is>
          <t>The only real size effect: fixed costs spread over more capital</t>
        </is>
      </c>
    </row>
    <row r="15">
      <c r="A15" t="inlineStr">
        <is>
          <t>Organisational expenses as % of commitments</t>
        </is>
      </c>
      <c r="B15" s="12">
        <f>Q_20m!B53/Q_20m!B49</f>
        <v/>
      </c>
      <c r="C15" s="12">
        <f>Q_35m!B53/Q_35m!B49</f>
        <v/>
      </c>
      <c r="D15" s="12">
        <f>Q_50m!B53/Q_50m!B49</f>
        <v/>
      </c>
      <c r="E15" t="inlineStr">
        <is>
          <t>Capped in the LPA</t>
        </is>
      </c>
    </row>
    <row r="16">
      <c r="A16" t="inlineStr">
        <is>
          <t>Deployed from LP drawdowns as % of commitments</t>
        </is>
      </c>
      <c r="B16" s="12">
        <f>Q_20m!B57</f>
        <v/>
      </c>
      <c r="C16" s="12">
        <f>Q_35m!B57</f>
        <v/>
      </c>
      <c r="D16" s="12">
        <f>Q_50m!B57</f>
        <v/>
      </c>
      <c r="E16" t="inlineStr"/>
    </row>
    <row r="17">
      <c r="A17" t="inlineStr">
        <is>
          <t>GP commitment paid in cash over fund life (1%)</t>
        </is>
      </c>
      <c r="B17" s="10">
        <f>Q_20m!B58</f>
        <v/>
      </c>
      <c r="C17" s="10">
        <f>Q_35m!B58</f>
        <v/>
      </c>
      <c r="D17" s="10">
        <f>Q_50m!B58</f>
        <v/>
      </c>
      <c r="E17" t="inlineStr"/>
    </row>
    <row r="19">
      <c r="A19" s="7" t="inlineStr">
        <is>
          <t>LP VIEW — WHERE 1,000,000 OF COMMITMENT GOES</t>
        </is>
      </c>
    </row>
    <row r="20">
      <c r="A20" t="inlineStr">
        <is>
          <t>Management fees over 10 years (incl. equalisation)</t>
        </is>
      </c>
      <c r="B20" s="10">
        <f>Q_20m!B67</f>
        <v/>
      </c>
      <c r="C20" s="10">
        <f>Q_35m!B67</f>
        <v/>
      </c>
      <c r="D20" s="10">
        <f>Q_50m!B67</f>
        <v/>
      </c>
    </row>
    <row r="21">
      <c r="A21" t="inlineStr">
        <is>
          <t>Fund expenses</t>
        </is>
      </c>
      <c r="B21" s="10">
        <f>Q_20m!B68</f>
        <v/>
      </c>
      <c r="C21" s="10">
        <f>Q_35m!B68</f>
        <v/>
      </c>
      <c r="D21" s="10">
        <f>Q_50m!B68</f>
        <v/>
      </c>
    </row>
    <row r="22">
      <c r="A22" t="inlineStr">
        <is>
          <t>Organisational expenses (capped)</t>
        </is>
      </c>
      <c r="B22" s="10">
        <f>Q_20m!B69</f>
        <v/>
      </c>
      <c r="C22" s="10">
        <f>Q_35m!B69</f>
        <v/>
      </c>
      <c r="D22" s="10">
        <f>Q_50m!B69</f>
        <v/>
      </c>
    </row>
    <row r="23">
      <c r="A23" t="inlineStr">
        <is>
          <t>Invested into portfolio companies (from drawdowns)</t>
        </is>
      </c>
      <c r="B23" s="10">
        <f>Q_20m!B70</f>
        <v/>
      </c>
      <c r="C23" s="10">
        <f>Q_35m!B70</f>
        <v/>
      </c>
      <c r="D23" s="10">
        <f>Q_50m!B70</f>
        <v/>
      </c>
    </row>
    <row r="24">
      <c r="A24" t="inlineStr">
        <is>
          <t>Total = commitment</t>
        </is>
      </c>
      <c r="B24" s="10">
        <f>Q_20m!B71</f>
        <v/>
      </c>
      <c r="C24" s="10">
        <f>Q_35m!B71</f>
        <v/>
      </c>
      <c r="D24" s="10">
        <f>Q_50m!B71</f>
        <v/>
      </c>
    </row>
    <row r="25">
      <c r="A25" t="inlineStr">
        <is>
          <t>Plus recycled proceeds — total working in companies</t>
        </is>
      </c>
      <c r="B25" s="10">
        <f>Q_20m!B72</f>
        <v/>
      </c>
      <c r="C25" s="10">
        <f>Q_35m!B72</f>
        <v/>
      </c>
      <c r="D25" s="10">
        <f>Q_50m!B72</f>
        <v/>
      </c>
    </row>
    <row r="26">
      <c r="A26" t="inlineStr">
        <is>
          <t>Catch-up paid by an LP joining at the final close</t>
        </is>
      </c>
      <c r="B26" s="10">
        <f>Q_20m!B73</f>
        <v/>
      </c>
      <c r="C26" s="10">
        <f>Q_35m!B73</f>
        <v/>
      </c>
      <c r="D26" s="10">
        <f>Q_50m!B73</f>
        <v/>
      </c>
    </row>
    <row r="28">
      <c r="A28" t="inlineStr">
        <is>
          <t>Reading: the fee load (18.2%) does not move with size. What moves is the fund's own running cost —</t>
        </is>
      </c>
    </row>
    <row r="29">
      <c r="A29" t="inlineStr">
        <is>
          <t>4.5% of commitments at 20m against 2.3% at 50m — and that is what decides whether the GP survives year 10.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7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6" customWidth="1" min="2" max="2"/>
    <col width="12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  <col width="13" customWidth="1" min="25" max="25"/>
    <col width="13" customWidth="1" min="26" max="26"/>
  </cols>
  <sheetData>
    <row r="1">
      <c r="A1" s="1" t="inlineStr">
        <is>
          <t>Quarterly cash flow of the management company — Floor — EUR 20m</t>
        </is>
      </c>
    </row>
    <row r="2">
      <c r="A2" t="inlineStr">
        <is>
          <t>All inputs live on the Assumptions sheet. Nothing here is typed except the quarter number.</t>
        </is>
      </c>
    </row>
    <row r="4">
      <c r="A4" s="13" t="inlineStr">
        <is>
          <t>Q</t>
        </is>
      </c>
      <c r="B4" s="13" t="inlineStr">
        <is>
          <t>Year</t>
        </is>
      </c>
      <c r="C4" s="13" t="inlineStr">
        <is>
          <t>Period</t>
        </is>
      </c>
      <c r="D4" s="13" t="inlineStr">
        <is>
          <t>Commitments in force</t>
        </is>
      </c>
      <c r="E4" s="13" t="inlineStr">
        <is>
          <t>Fee basis</t>
        </is>
      </c>
      <c r="F4" s="13" t="inlineStr">
        <is>
          <t>Mgmt fee regular</t>
        </is>
      </c>
      <c r="G4" s="13" t="inlineStr">
        <is>
          <t>Equalisation catch-up</t>
        </is>
      </c>
      <c r="H4" s="13" t="inlineStr">
        <is>
          <t>Org reimbursement</t>
        </is>
      </c>
      <c r="I4" s="13" t="inlineStr">
        <is>
          <t>TOTAL INFLOW</t>
        </is>
      </c>
      <c r="J4" s="13" t="inlineStr">
        <is>
          <t>Platform</t>
        </is>
      </c>
      <c r="K4" s="13" t="inlineStr">
        <is>
          <t>HK staff</t>
        </is>
      </c>
      <c r="L4" s="13" t="inlineStr">
        <is>
          <t>HK office</t>
        </is>
      </c>
      <c r="M4" s="13" t="inlineStr">
        <is>
          <t>Travel</t>
        </is>
      </c>
      <c r="N4" s="13" t="inlineStr">
        <is>
          <t>Other</t>
        </is>
      </c>
      <c r="O4" s="13" t="inlineStr">
        <is>
          <t>Formation costs paid by GP</t>
        </is>
      </c>
      <c r="P4" s="13" t="inlineStr">
        <is>
          <t>German advisory fee</t>
        </is>
      </c>
      <c r="Q4" s="13" t="inlineStr">
        <is>
          <t>TOTAL OUTFLOW</t>
        </is>
      </c>
      <c r="R4" s="13" t="inlineStr">
        <is>
          <t>NET CASH</t>
        </is>
      </c>
      <c r="S4" s="13" t="inlineStr">
        <is>
          <t>CUMULATIVE CASH</t>
        </is>
      </c>
      <c r="T4" s="13" t="inlineStr">
        <is>
          <t>Memo deployed (incl. recycled)</t>
        </is>
      </c>
      <c r="U4" s="13" t="inlineStr">
        <is>
          <t>Memo exits at cost</t>
        </is>
      </c>
      <c r="V4" s="13" t="inlineStr">
        <is>
          <t>Memo invested cost end</t>
        </is>
      </c>
      <c r="W4" s="13" t="inlineStr">
        <is>
          <t>Memo fund expenses</t>
        </is>
      </c>
      <c r="X4" s="13" t="inlineStr">
        <is>
          <t>Cost factor</t>
        </is>
      </c>
      <c r="Y4" s="13" t="inlineStr">
        <is>
          <t>Memo recycled proceeds reinvested</t>
        </is>
      </c>
      <c r="Z4" s="13" t="inlineStr">
        <is>
          <t>GP commitment paid in cash</t>
        </is>
      </c>
    </row>
    <row r="5">
      <c r="A5" t="n">
        <v>0</v>
      </c>
      <c r="B5">
        <f>IF(A5=0,0,ROUNDUP(A5/4,0))</f>
        <v/>
      </c>
      <c r="C5">
        <f>IF(A5=0,"Pre-close","Y"&amp;B5&amp;" Q"&amp;(A5-(B5-1)*4))</f>
        <v/>
      </c>
      <c r="D5" s="14">
        <f>IF(A5=0,0,Assumptions!$C$6+IF(A5&gt;=1+Assumptions!$C$8,Assumptions!$C$7,0))</f>
        <v/>
      </c>
      <c r="E5" s="14" t="n">
        <v>0</v>
      </c>
      <c r="F5" s="14">
        <f>IF(OR(A5=0,A5&gt;Assumptions!$C$13),0,IF(A5&lt;=Assumptions!$C$12,Assumptions!$C$10,Assumptions!$C$11)*E5/4)-IF(Assumptions!$C$22=1,Assumptions!$C$21*(T5-Y5),0)</f>
        <v/>
      </c>
      <c r="G5" s="14">
        <f>IF(A5=1+Assumptions!$C$8,Assumptions!$C$7*Assumptions!$C$10*(Assumptions!$C$8/4)*(1+Assumptions!$C$14*(Assumptions!$C$8/4)/2),0)</f>
        <v/>
      </c>
      <c r="H5" s="14">
        <f>IF(A5=1,MIN(Assumptions!$C$15,Assumptions!$C$17*Assumptions!$C$6),IF(A5=1+Assumptions!$C$8,MIN(Assumptions!$C$15,Assumptions!$C$17*Assumptions!$C$9)-MIN(Assumptions!$C$15,Assumptions!$C$17*Assumptions!$C$6),0))</f>
        <v/>
      </c>
      <c r="I5" s="14">
        <f>F5+G5+H5</f>
        <v/>
      </c>
      <c r="J5" s="14">
        <f>Assumptions!$C$24/4*X5</f>
        <v/>
      </c>
      <c r="K5" s="14">
        <f>Assumptions!$C$25/4*X5</f>
        <v/>
      </c>
      <c r="L5" s="14">
        <f>Assumptions!$C$26/4*X5</f>
        <v/>
      </c>
      <c r="M5" s="14">
        <f>Assumptions!$C$27/4*X5</f>
        <v/>
      </c>
      <c r="N5" s="14">
        <f>Assumptions!$C$28/4*X5</f>
        <v/>
      </c>
      <c r="O5" s="14">
        <f>IF(A5=0,Assumptions!$C$16+Assumptions!$C$31+Assumptions!$C$32,IF(A5=1,Assumptions!$C$15-Assumptions!$C$16,0))</f>
        <v/>
      </c>
      <c r="P5" s="14">
        <f>Assumptions!$C$29/4*X5</f>
        <v/>
      </c>
      <c r="Q5" s="14">
        <f>SUM(J5:P5)+Z5</f>
        <v/>
      </c>
      <c r="R5" s="14">
        <f>I5-Q5</f>
        <v/>
      </c>
      <c r="S5" s="14">
        <f>R5</f>
        <v/>
      </c>
      <c r="T5" s="14">
        <f>IF(OR(A5=0,A5&gt;Assumptions!$C$12),0,D5*(1-Assumptions!$C$19)/Assumptions!$C$12+IF(A5=1+Assumptions!$C$8,Assumptions!$C$7*(1-Assumptions!$C$19)/Assumptions!$C$12*Assumptions!$C$8,0))+Y5</f>
        <v/>
      </c>
      <c r="U5" s="14" t="n">
        <v>0</v>
      </c>
      <c r="V5" s="14">
        <f>T5</f>
        <v/>
      </c>
      <c r="W5" s="14">
        <f>IF(OR(A5=0,A5&gt;Assumptions!$C$13),0,Assumptions!$C$18/4)</f>
        <v/>
      </c>
      <c r="X5" s="15">
        <f>IF(A5=0,0,IF(A5&gt;Assumptions!$C$12,Assumptions!$C$30,1))</f>
        <v/>
      </c>
      <c r="Y5" s="14">
        <f>IF(AND(A5&gt;=9,A5&lt;=Assumptions!$C$12),Assumptions!$C$20*Assumptions!$C$10*Assumptions!$C$9*Assumptions!$C$12/4/(Assumptions!$C$12-8),0)</f>
        <v/>
      </c>
      <c r="Z5" s="14">
        <f>IF(Assumptions!$C$22=1,0,Assumptions!$C$21*(T5-Y5+F5+G5+W5))</f>
        <v/>
      </c>
    </row>
    <row r="6">
      <c r="A6" t="n">
        <v>1</v>
      </c>
      <c r="B6">
        <f>IF(A6=0,0,ROUNDUP(A6/4,0))</f>
        <v/>
      </c>
      <c r="C6">
        <f>IF(A6=0,"Pre-close","Y"&amp;B6&amp;" Q"&amp;(A6-(B6-1)*4))</f>
        <v/>
      </c>
      <c r="D6" s="14">
        <f>IF(A6=0,0,Assumptions!$C$6+IF(A6&gt;=1+Assumptions!$C$8,Assumptions!$C$7,0))</f>
        <v/>
      </c>
      <c r="E6" s="14">
        <f>IF(A6&lt;=Assumptions!$C$12,D6,V5)</f>
        <v/>
      </c>
      <c r="F6" s="14">
        <f>IF(OR(A6=0,A6&gt;Assumptions!$C$13),0,IF(A6&lt;=Assumptions!$C$12,Assumptions!$C$10,Assumptions!$C$11)*E6/4)-IF(Assumptions!$C$22=1,Assumptions!$C$21*(T6-Y6),0)</f>
        <v/>
      </c>
      <c r="G6" s="14">
        <f>IF(A6=1+Assumptions!$C$8,Assumptions!$C$7*Assumptions!$C$10*(Assumptions!$C$8/4)*(1+Assumptions!$C$14*(Assumptions!$C$8/4)/2),0)</f>
        <v/>
      </c>
      <c r="H6" s="14">
        <f>IF(A6=1,MIN(Assumptions!$C$15,Assumptions!$C$17*Assumptions!$C$6),IF(A6=1+Assumptions!$C$8,MIN(Assumptions!$C$15,Assumptions!$C$17*Assumptions!$C$9)-MIN(Assumptions!$C$15,Assumptions!$C$17*Assumptions!$C$6),0))</f>
        <v/>
      </c>
      <c r="I6" s="14">
        <f>F6+G6+H6</f>
        <v/>
      </c>
      <c r="J6" s="14">
        <f>Assumptions!$C$24/4*X6</f>
        <v/>
      </c>
      <c r="K6" s="14">
        <f>Assumptions!$C$25/4*X6</f>
        <v/>
      </c>
      <c r="L6" s="14">
        <f>Assumptions!$C$26/4*X6</f>
        <v/>
      </c>
      <c r="M6" s="14">
        <f>Assumptions!$C$27/4*X6</f>
        <v/>
      </c>
      <c r="N6" s="14">
        <f>Assumptions!$C$28/4*X6</f>
        <v/>
      </c>
      <c r="O6" s="14">
        <f>IF(A6=0,Assumptions!$C$16+Assumptions!$C$31+Assumptions!$C$32,IF(A6=1,Assumptions!$C$15-Assumptions!$C$16,0))</f>
        <v/>
      </c>
      <c r="P6" s="14">
        <f>Assumptions!$C$29/4*X6</f>
        <v/>
      </c>
      <c r="Q6" s="14">
        <f>SUM(J6:P6)+Z6</f>
        <v/>
      </c>
      <c r="R6" s="14">
        <f>I6-Q6</f>
        <v/>
      </c>
      <c r="S6" s="14">
        <f>S5+R6</f>
        <v/>
      </c>
      <c r="T6" s="14">
        <f>IF(OR(A6=0,A6&gt;Assumptions!$C$12),0,D6*(1-Assumptions!$C$19)/Assumptions!$C$12+IF(A6=1+Assumptions!$C$8,Assumptions!$C$7*(1-Assumptions!$C$19)/Assumptions!$C$12*Assumptions!$C$8,0))+Y6</f>
        <v/>
      </c>
      <c r="U6" s="14">
        <f>IF(A6&gt;Assumptions!$C$12,V5*Assumptions!$C$23,0)</f>
        <v/>
      </c>
      <c r="V6" s="14">
        <f>V5*(1-IF(A6&gt;Assumptions!$C$12,Assumptions!$C$23,0))+T6</f>
        <v/>
      </c>
      <c r="W6" s="14">
        <f>IF(OR(A6=0,A6&gt;Assumptions!$C$13),0,Assumptions!$C$18/4)</f>
        <v/>
      </c>
      <c r="X6" s="15">
        <f>IF(A6=0,0,IF(A6&gt;Assumptions!$C$12,Assumptions!$C$30,1))</f>
        <v/>
      </c>
      <c r="Y6" s="14">
        <f>IF(AND(A6&gt;=9,A6&lt;=Assumptions!$C$12),Assumptions!$C$20*Assumptions!$C$10*Assumptions!$C$9*Assumptions!$C$12/4/(Assumptions!$C$12-8),0)</f>
        <v/>
      </c>
      <c r="Z6" s="14">
        <f>IF(Assumptions!$C$22=1,0,Assumptions!$C$21*(T6-Y6+F6+G6+W6))</f>
        <v/>
      </c>
    </row>
    <row r="7">
      <c r="A7" t="n">
        <v>2</v>
      </c>
      <c r="B7">
        <f>IF(A7=0,0,ROUNDUP(A7/4,0))</f>
        <v/>
      </c>
      <c r="C7">
        <f>IF(A7=0,"Pre-close","Y"&amp;B7&amp;" Q"&amp;(A7-(B7-1)*4))</f>
        <v/>
      </c>
      <c r="D7" s="14">
        <f>IF(A7=0,0,Assumptions!$C$6+IF(A7&gt;=1+Assumptions!$C$8,Assumptions!$C$7,0))</f>
        <v/>
      </c>
      <c r="E7" s="14">
        <f>IF(A7&lt;=Assumptions!$C$12,D7,V6)</f>
        <v/>
      </c>
      <c r="F7" s="14">
        <f>IF(OR(A7=0,A7&gt;Assumptions!$C$13),0,IF(A7&lt;=Assumptions!$C$12,Assumptions!$C$10,Assumptions!$C$11)*E7/4)-IF(Assumptions!$C$22=1,Assumptions!$C$21*(T7-Y7),0)</f>
        <v/>
      </c>
      <c r="G7" s="14">
        <f>IF(A7=1+Assumptions!$C$8,Assumptions!$C$7*Assumptions!$C$10*(Assumptions!$C$8/4)*(1+Assumptions!$C$14*(Assumptions!$C$8/4)/2),0)</f>
        <v/>
      </c>
      <c r="H7" s="14">
        <f>IF(A7=1,MIN(Assumptions!$C$15,Assumptions!$C$17*Assumptions!$C$6),IF(A7=1+Assumptions!$C$8,MIN(Assumptions!$C$15,Assumptions!$C$17*Assumptions!$C$9)-MIN(Assumptions!$C$15,Assumptions!$C$17*Assumptions!$C$6),0))</f>
        <v/>
      </c>
      <c r="I7" s="14">
        <f>F7+G7+H7</f>
        <v/>
      </c>
      <c r="J7" s="14">
        <f>Assumptions!$C$24/4*X7</f>
        <v/>
      </c>
      <c r="K7" s="14">
        <f>Assumptions!$C$25/4*X7</f>
        <v/>
      </c>
      <c r="L7" s="14">
        <f>Assumptions!$C$26/4*X7</f>
        <v/>
      </c>
      <c r="M7" s="14">
        <f>Assumptions!$C$27/4*X7</f>
        <v/>
      </c>
      <c r="N7" s="14">
        <f>Assumptions!$C$28/4*X7</f>
        <v/>
      </c>
      <c r="O7" s="14">
        <f>IF(A7=0,Assumptions!$C$16+Assumptions!$C$31+Assumptions!$C$32,IF(A7=1,Assumptions!$C$15-Assumptions!$C$16,0))</f>
        <v/>
      </c>
      <c r="P7" s="14">
        <f>Assumptions!$C$29/4*X7</f>
        <v/>
      </c>
      <c r="Q7" s="14">
        <f>SUM(J7:P7)+Z7</f>
        <v/>
      </c>
      <c r="R7" s="14">
        <f>I7-Q7</f>
        <v/>
      </c>
      <c r="S7" s="14">
        <f>S6+R7</f>
        <v/>
      </c>
      <c r="T7" s="14">
        <f>IF(OR(A7=0,A7&gt;Assumptions!$C$12),0,D7*(1-Assumptions!$C$19)/Assumptions!$C$12+IF(A7=1+Assumptions!$C$8,Assumptions!$C$7*(1-Assumptions!$C$19)/Assumptions!$C$12*Assumptions!$C$8,0))+Y7</f>
        <v/>
      </c>
      <c r="U7" s="14">
        <f>IF(A7&gt;Assumptions!$C$12,V6*Assumptions!$C$23,0)</f>
        <v/>
      </c>
      <c r="V7" s="14">
        <f>V6*(1-IF(A7&gt;Assumptions!$C$12,Assumptions!$C$23,0))+T7</f>
        <v/>
      </c>
      <c r="W7" s="14">
        <f>IF(OR(A7=0,A7&gt;Assumptions!$C$13),0,Assumptions!$C$18/4)</f>
        <v/>
      </c>
      <c r="X7" s="15">
        <f>IF(A7=0,0,IF(A7&gt;Assumptions!$C$12,Assumptions!$C$30,1))</f>
        <v/>
      </c>
      <c r="Y7" s="14">
        <f>IF(AND(A7&gt;=9,A7&lt;=Assumptions!$C$12),Assumptions!$C$20*Assumptions!$C$10*Assumptions!$C$9*Assumptions!$C$12/4/(Assumptions!$C$12-8),0)</f>
        <v/>
      </c>
      <c r="Z7" s="14">
        <f>IF(Assumptions!$C$22=1,0,Assumptions!$C$21*(T7-Y7+F7+G7+W7))</f>
        <v/>
      </c>
    </row>
    <row r="8">
      <c r="A8" t="n">
        <v>3</v>
      </c>
      <c r="B8">
        <f>IF(A8=0,0,ROUNDUP(A8/4,0))</f>
        <v/>
      </c>
      <c r="C8">
        <f>IF(A8=0,"Pre-close","Y"&amp;B8&amp;" Q"&amp;(A8-(B8-1)*4))</f>
        <v/>
      </c>
      <c r="D8" s="14">
        <f>IF(A8=0,0,Assumptions!$C$6+IF(A8&gt;=1+Assumptions!$C$8,Assumptions!$C$7,0))</f>
        <v/>
      </c>
      <c r="E8" s="14">
        <f>IF(A8&lt;=Assumptions!$C$12,D8,V7)</f>
        <v/>
      </c>
      <c r="F8" s="14">
        <f>IF(OR(A8=0,A8&gt;Assumptions!$C$13),0,IF(A8&lt;=Assumptions!$C$12,Assumptions!$C$10,Assumptions!$C$11)*E8/4)-IF(Assumptions!$C$22=1,Assumptions!$C$21*(T8-Y8),0)</f>
        <v/>
      </c>
      <c r="G8" s="14">
        <f>IF(A8=1+Assumptions!$C$8,Assumptions!$C$7*Assumptions!$C$10*(Assumptions!$C$8/4)*(1+Assumptions!$C$14*(Assumptions!$C$8/4)/2),0)</f>
        <v/>
      </c>
      <c r="H8" s="14">
        <f>IF(A8=1,MIN(Assumptions!$C$15,Assumptions!$C$17*Assumptions!$C$6),IF(A8=1+Assumptions!$C$8,MIN(Assumptions!$C$15,Assumptions!$C$17*Assumptions!$C$9)-MIN(Assumptions!$C$15,Assumptions!$C$17*Assumptions!$C$6),0))</f>
        <v/>
      </c>
      <c r="I8" s="14">
        <f>F8+G8+H8</f>
        <v/>
      </c>
      <c r="J8" s="14">
        <f>Assumptions!$C$24/4*X8</f>
        <v/>
      </c>
      <c r="K8" s="14">
        <f>Assumptions!$C$25/4*X8</f>
        <v/>
      </c>
      <c r="L8" s="14">
        <f>Assumptions!$C$26/4*X8</f>
        <v/>
      </c>
      <c r="M8" s="14">
        <f>Assumptions!$C$27/4*X8</f>
        <v/>
      </c>
      <c r="N8" s="14">
        <f>Assumptions!$C$28/4*X8</f>
        <v/>
      </c>
      <c r="O8" s="14">
        <f>IF(A8=0,Assumptions!$C$16+Assumptions!$C$31+Assumptions!$C$32,IF(A8=1,Assumptions!$C$15-Assumptions!$C$16,0))</f>
        <v/>
      </c>
      <c r="P8" s="14">
        <f>Assumptions!$C$29/4*X8</f>
        <v/>
      </c>
      <c r="Q8" s="14">
        <f>SUM(J8:P8)+Z8</f>
        <v/>
      </c>
      <c r="R8" s="14">
        <f>I8-Q8</f>
        <v/>
      </c>
      <c r="S8" s="14">
        <f>S7+R8</f>
        <v/>
      </c>
      <c r="T8" s="14">
        <f>IF(OR(A8=0,A8&gt;Assumptions!$C$12),0,D8*(1-Assumptions!$C$19)/Assumptions!$C$12+IF(A8=1+Assumptions!$C$8,Assumptions!$C$7*(1-Assumptions!$C$19)/Assumptions!$C$12*Assumptions!$C$8,0))+Y8</f>
        <v/>
      </c>
      <c r="U8" s="14">
        <f>IF(A8&gt;Assumptions!$C$12,V7*Assumptions!$C$23,0)</f>
        <v/>
      </c>
      <c r="V8" s="14">
        <f>V7*(1-IF(A8&gt;Assumptions!$C$12,Assumptions!$C$23,0))+T8</f>
        <v/>
      </c>
      <c r="W8" s="14">
        <f>IF(OR(A8=0,A8&gt;Assumptions!$C$13),0,Assumptions!$C$18/4)</f>
        <v/>
      </c>
      <c r="X8" s="15">
        <f>IF(A8=0,0,IF(A8&gt;Assumptions!$C$12,Assumptions!$C$30,1))</f>
        <v/>
      </c>
      <c r="Y8" s="14">
        <f>IF(AND(A8&gt;=9,A8&lt;=Assumptions!$C$12),Assumptions!$C$20*Assumptions!$C$10*Assumptions!$C$9*Assumptions!$C$12/4/(Assumptions!$C$12-8),0)</f>
        <v/>
      </c>
      <c r="Z8" s="14">
        <f>IF(Assumptions!$C$22=1,0,Assumptions!$C$21*(T8-Y8+F8+G8+W8))</f>
        <v/>
      </c>
    </row>
    <row r="9">
      <c r="A9" t="n">
        <v>4</v>
      </c>
      <c r="B9">
        <f>IF(A9=0,0,ROUNDUP(A9/4,0))</f>
        <v/>
      </c>
      <c r="C9">
        <f>IF(A9=0,"Pre-close","Y"&amp;B9&amp;" Q"&amp;(A9-(B9-1)*4))</f>
        <v/>
      </c>
      <c r="D9" s="14">
        <f>IF(A9=0,0,Assumptions!$C$6+IF(A9&gt;=1+Assumptions!$C$8,Assumptions!$C$7,0))</f>
        <v/>
      </c>
      <c r="E9" s="14">
        <f>IF(A9&lt;=Assumptions!$C$12,D9,V8)</f>
        <v/>
      </c>
      <c r="F9" s="14">
        <f>IF(OR(A9=0,A9&gt;Assumptions!$C$13),0,IF(A9&lt;=Assumptions!$C$12,Assumptions!$C$10,Assumptions!$C$11)*E9/4)-IF(Assumptions!$C$22=1,Assumptions!$C$21*(T9-Y9),0)</f>
        <v/>
      </c>
      <c r="G9" s="14">
        <f>IF(A9=1+Assumptions!$C$8,Assumptions!$C$7*Assumptions!$C$10*(Assumptions!$C$8/4)*(1+Assumptions!$C$14*(Assumptions!$C$8/4)/2),0)</f>
        <v/>
      </c>
      <c r="H9" s="14">
        <f>IF(A9=1,MIN(Assumptions!$C$15,Assumptions!$C$17*Assumptions!$C$6),IF(A9=1+Assumptions!$C$8,MIN(Assumptions!$C$15,Assumptions!$C$17*Assumptions!$C$9)-MIN(Assumptions!$C$15,Assumptions!$C$17*Assumptions!$C$6),0))</f>
        <v/>
      </c>
      <c r="I9" s="14">
        <f>F9+G9+H9</f>
        <v/>
      </c>
      <c r="J9" s="14">
        <f>Assumptions!$C$24/4*X9</f>
        <v/>
      </c>
      <c r="K9" s="14">
        <f>Assumptions!$C$25/4*X9</f>
        <v/>
      </c>
      <c r="L9" s="14">
        <f>Assumptions!$C$26/4*X9</f>
        <v/>
      </c>
      <c r="M9" s="14">
        <f>Assumptions!$C$27/4*X9</f>
        <v/>
      </c>
      <c r="N9" s="14">
        <f>Assumptions!$C$28/4*X9</f>
        <v/>
      </c>
      <c r="O9" s="14">
        <f>IF(A9=0,Assumptions!$C$16+Assumptions!$C$31+Assumptions!$C$32,IF(A9=1,Assumptions!$C$15-Assumptions!$C$16,0))</f>
        <v/>
      </c>
      <c r="P9" s="14">
        <f>Assumptions!$C$29/4*X9</f>
        <v/>
      </c>
      <c r="Q9" s="14">
        <f>SUM(J9:P9)+Z9</f>
        <v/>
      </c>
      <c r="R9" s="14">
        <f>I9-Q9</f>
        <v/>
      </c>
      <c r="S9" s="14">
        <f>S8+R9</f>
        <v/>
      </c>
      <c r="T9" s="14">
        <f>IF(OR(A9=0,A9&gt;Assumptions!$C$12),0,D9*(1-Assumptions!$C$19)/Assumptions!$C$12+IF(A9=1+Assumptions!$C$8,Assumptions!$C$7*(1-Assumptions!$C$19)/Assumptions!$C$12*Assumptions!$C$8,0))+Y9</f>
        <v/>
      </c>
      <c r="U9" s="14">
        <f>IF(A9&gt;Assumptions!$C$12,V8*Assumptions!$C$23,0)</f>
        <v/>
      </c>
      <c r="V9" s="14">
        <f>V8*(1-IF(A9&gt;Assumptions!$C$12,Assumptions!$C$23,0))+T9</f>
        <v/>
      </c>
      <c r="W9" s="14">
        <f>IF(OR(A9=0,A9&gt;Assumptions!$C$13),0,Assumptions!$C$18/4)</f>
        <v/>
      </c>
      <c r="X9" s="15">
        <f>IF(A9=0,0,IF(A9&gt;Assumptions!$C$12,Assumptions!$C$30,1))</f>
        <v/>
      </c>
      <c r="Y9" s="14">
        <f>IF(AND(A9&gt;=9,A9&lt;=Assumptions!$C$12),Assumptions!$C$20*Assumptions!$C$10*Assumptions!$C$9*Assumptions!$C$12/4/(Assumptions!$C$12-8),0)</f>
        <v/>
      </c>
      <c r="Z9" s="14">
        <f>IF(Assumptions!$C$22=1,0,Assumptions!$C$21*(T9-Y9+F9+G9+W9))</f>
        <v/>
      </c>
    </row>
    <row r="10">
      <c r="A10" t="n">
        <v>5</v>
      </c>
      <c r="B10">
        <f>IF(A10=0,0,ROUNDUP(A10/4,0))</f>
        <v/>
      </c>
      <c r="C10">
        <f>IF(A10=0,"Pre-close","Y"&amp;B10&amp;" Q"&amp;(A10-(B10-1)*4))</f>
        <v/>
      </c>
      <c r="D10" s="14">
        <f>IF(A10=0,0,Assumptions!$C$6+IF(A10&gt;=1+Assumptions!$C$8,Assumptions!$C$7,0))</f>
        <v/>
      </c>
      <c r="E10" s="14">
        <f>IF(A10&lt;=Assumptions!$C$12,D10,V9)</f>
        <v/>
      </c>
      <c r="F10" s="14">
        <f>IF(OR(A10=0,A10&gt;Assumptions!$C$13),0,IF(A10&lt;=Assumptions!$C$12,Assumptions!$C$10,Assumptions!$C$11)*E10/4)-IF(Assumptions!$C$22=1,Assumptions!$C$21*(T10-Y10),0)</f>
        <v/>
      </c>
      <c r="G10" s="14">
        <f>IF(A10=1+Assumptions!$C$8,Assumptions!$C$7*Assumptions!$C$10*(Assumptions!$C$8/4)*(1+Assumptions!$C$14*(Assumptions!$C$8/4)/2),0)</f>
        <v/>
      </c>
      <c r="H10" s="14">
        <f>IF(A10=1,MIN(Assumptions!$C$15,Assumptions!$C$17*Assumptions!$C$6),IF(A10=1+Assumptions!$C$8,MIN(Assumptions!$C$15,Assumptions!$C$17*Assumptions!$C$9)-MIN(Assumptions!$C$15,Assumptions!$C$17*Assumptions!$C$6),0))</f>
        <v/>
      </c>
      <c r="I10" s="14">
        <f>F10+G10+H10</f>
        <v/>
      </c>
      <c r="J10" s="14">
        <f>Assumptions!$C$24/4*X10</f>
        <v/>
      </c>
      <c r="K10" s="14">
        <f>Assumptions!$C$25/4*X10</f>
        <v/>
      </c>
      <c r="L10" s="14">
        <f>Assumptions!$C$26/4*X10</f>
        <v/>
      </c>
      <c r="M10" s="14">
        <f>Assumptions!$C$27/4*X10</f>
        <v/>
      </c>
      <c r="N10" s="14">
        <f>Assumptions!$C$28/4*X10</f>
        <v/>
      </c>
      <c r="O10" s="14">
        <f>IF(A10=0,Assumptions!$C$16+Assumptions!$C$31+Assumptions!$C$32,IF(A10=1,Assumptions!$C$15-Assumptions!$C$16,0))</f>
        <v/>
      </c>
      <c r="P10" s="14">
        <f>Assumptions!$C$29/4*X10</f>
        <v/>
      </c>
      <c r="Q10" s="14">
        <f>SUM(J10:P10)+Z10</f>
        <v/>
      </c>
      <c r="R10" s="14">
        <f>I10-Q10</f>
        <v/>
      </c>
      <c r="S10" s="14">
        <f>S9+R10</f>
        <v/>
      </c>
      <c r="T10" s="14">
        <f>IF(OR(A10=0,A10&gt;Assumptions!$C$12),0,D10*(1-Assumptions!$C$19)/Assumptions!$C$12+IF(A10=1+Assumptions!$C$8,Assumptions!$C$7*(1-Assumptions!$C$19)/Assumptions!$C$12*Assumptions!$C$8,0))+Y10</f>
        <v/>
      </c>
      <c r="U10" s="14">
        <f>IF(A10&gt;Assumptions!$C$12,V9*Assumptions!$C$23,0)</f>
        <v/>
      </c>
      <c r="V10" s="14">
        <f>V9*(1-IF(A10&gt;Assumptions!$C$12,Assumptions!$C$23,0))+T10</f>
        <v/>
      </c>
      <c r="W10" s="14">
        <f>IF(OR(A10=0,A10&gt;Assumptions!$C$13),0,Assumptions!$C$18/4)</f>
        <v/>
      </c>
      <c r="X10" s="15">
        <f>IF(A10=0,0,IF(A10&gt;Assumptions!$C$12,Assumptions!$C$30,1))</f>
        <v/>
      </c>
      <c r="Y10" s="14">
        <f>IF(AND(A10&gt;=9,A10&lt;=Assumptions!$C$12),Assumptions!$C$20*Assumptions!$C$10*Assumptions!$C$9*Assumptions!$C$12/4/(Assumptions!$C$12-8),0)</f>
        <v/>
      </c>
      <c r="Z10" s="14">
        <f>IF(Assumptions!$C$22=1,0,Assumptions!$C$21*(T10-Y10+F10+G10+W10))</f>
        <v/>
      </c>
    </row>
    <row r="11">
      <c r="A11" t="n">
        <v>6</v>
      </c>
      <c r="B11">
        <f>IF(A11=0,0,ROUNDUP(A11/4,0))</f>
        <v/>
      </c>
      <c r="C11">
        <f>IF(A11=0,"Pre-close","Y"&amp;B11&amp;" Q"&amp;(A11-(B11-1)*4))</f>
        <v/>
      </c>
      <c r="D11" s="14">
        <f>IF(A11=0,0,Assumptions!$C$6+IF(A11&gt;=1+Assumptions!$C$8,Assumptions!$C$7,0))</f>
        <v/>
      </c>
      <c r="E11" s="14">
        <f>IF(A11&lt;=Assumptions!$C$12,D11,V10)</f>
        <v/>
      </c>
      <c r="F11" s="14">
        <f>IF(OR(A11=0,A11&gt;Assumptions!$C$13),0,IF(A11&lt;=Assumptions!$C$12,Assumptions!$C$10,Assumptions!$C$11)*E11/4)-IF(Assumptions!$C$22=1,Assumptions!$C$21*(T11-Y11),0)</f>
        <v/>
      </c>
      <c r="G11" s="14">
        <f>IF(A11=1+Assumptions!$C$8,Assumptions!$C$7*Assumptions!$C$10*(Assumptions!$C$8/4)*(1+Assumptions!$C$14*(Assumptions!$C$8/4)/2),0)</f>
        <v/>
      </c>
      <c r="H11" s="14">
        <f>IF(A11=1,MIN(Assumptions!$C$15,Assumptions!$C$17*Assumptions!$C$6),IF(A11=1+Assumptions!$C$8,MIN(Assumptions!$C$15,Assumptions!$C$17*Assumptions!$C$9)-MIN(Assumptions!$C$15,Assumptions!$C$17*Assumptions!$C$6),0))</f>
        <v/>
      </c>
      <c r="I11" s="14">
        <f>F11+G11+H11</f>
        <v/>
      </c>
      <c r="J11" s="14">
        <f>Assumptions!$C$24/4*X11</f>
        <v/>
      </c>
      <c r="K11" s="14">
        <f>Assumptions!$C$25/4*X11</f>
        <v/>
      </c>
      <c r="L11" s="14">
        <f>Assumptions!$C$26/4*X11</f>
        <v/>
      </c>
      <c r="M11" s="14">
        <f>Assumptions!$C$27/4*X11</f>
        <v/>
      </c>
      <c r="N11" s="14">
        <f>Assumptions!$C$28/4*X11</f>
        <v/>
      </c>
      <c r="O11" s="14">
        <f>IF(A11=0,Assumptions!$C$16+Assumptions!$C$31+Assumptions!$C$32,IF(A11=1,Assumptions!$C$15-Assumptions!$C$16,0))</f>
        <v/>
      </c>
      <c r="P11" s="14">
        <f>Assumptions!$C$29/4*X11</f>
        <v/>
      </c>
      <c r="Q11" s="14">
        <f>SUM(J11:P11)+Z11</f>
        <v/>
      </c>
      <c r="R11" s="14">
        <f>I11-Q11</f>
        <v/>
      </c>
      <c r="S11" s="14">
        <f>S10+R11</f>
        <v/>
      </c>
      <c r="T11" s="14">
        <f>IF(OR(A11=0,A11&gt;Assumptions!$C$12),0,D11*(1-Assumptions!$C$19)/Assumptions!$C$12+IF(A11=1+Assumptions!$C$8,Assumptions!$C$7*(1-Assumptions!$C$19)/Assumptions!$C$12*Assumptions!$C$8,0))+Y11</f>
        <v/>
      </c>
      <c r="U11" s="14">
        <f>IF(A11&gt;Assumptions!$C$12,V10*Assumptions!$C$23,0)</f>
        <v/>
      </c>
      <c r="V11" s="14">
        <f>V10*(1-IF(A11&gt;Assumptions!$C$12,Assumptions!$C$23,0))+T11</f>
        <v/>
      </c>
      <c r="W11" s="14">
        <f>IF(OR(A11=0,A11&gt;Assumptions!$C$13),0,Assumptions!$C$18/4)</f>
        <v/>
      </c>
      <c r="X11" s="15">
        <f>IF(A11=0,0,IF(A11&gt;Assumptions!$C$12,Assumptions!$C$30,1))</f>
        <v/>
      </c>
      <c r="Y11" s="14">
        <f>IF(AND(A11&gt;=9,A11&lt;=Assumptions!$C$12),Assumptions!$C$20*Assumptions!$C$10*Assumptions!$C$9*Assumptions!$C$12/4/(Assumptions!$C$12-8),0)</f>
        <v/>
      </c>
      <c r="Z11" s="14">
        <f>IF(Assumptions!$C$22=1,0,Assumptions!$C$21*(T11-Y11+F11+G11+W11))</f>
        <v/>
      </c>
    </row>
    <row r="12">
      <c r="A12" t="n">
        <v>7</v>
      </c>
      <c r="B12">
        <f>IF(A12=0,0,ROUNDUP(A12/4,0))</f>
        <v/>
      </c>
      <c r="C12">
        <f>IF(A12=0,"Pre-close","Y"&amp;B12&amp;" Q"&amp;(A12-(B12-1)*4))</f>
        <v/>
      </c>
      <c r="D12" s="14">
        <f>IF(A12=0,0,Assumptions!$C$6+IF(A12&gt;=1+Assumptions!$C$8,Assumptions!$C$7,0))</f>
        <v/>
      </c>
      <c r="E12" s="14">
        <f>IF(A12&lt;=Assumptions!$C$12,D12,V11)</f>
        <v/>
      </c>
      <c r="F12" s="14">
        <f>IF(OR(A12=0,A12&gt;Assumptions!$C$13),0,IF(A12&lt;=Assumptions!$C$12,Assumptions!$C$10,Assumptions!$C$11)*E12/4)-IF(Assumptions!$C$22=1,Assumptions!$C$21*(T12-Y12),0)</f>
        <v/>
      </c>
      <c r="G12" s="14">
        <f>IF(A12=1+Assumptions!$C$8,Assumptions!$C$7*Assumptions!$C$10*(Assumptions!$C$8/4)*(1+Assumptions!$C$14*(Assumptions!$C$8/4)/2),0)</f>
        <v/>
      </c>
      <c r="H12" s="14">
        <f>IF(A12=1,MIN(Assumptions!$C$15,Assumptions!$C$17*Assumptions!$C$6),IF(A12=1+Assumptions!$C$8,MIN(Assumptions!$C$15,Assumptions!$C$17*Assumptions!$C$9)-MIN(Assumptions!$C$15,Assumptions!$C$17*Assumptions!$C$6),0))</f>
        <v/>
      </c>
      <c r="I12" s="14">
        <f>F12+G12+H12</f>
        <v/>
      </c>
      <c r="J12" s="14">
        <f>Assumptions!$C$24/4*X12</f>
        <v/>
      </c>
      <c r="K12" s="14">
        <f>Assumptions!$C$25/4*X12</f>
        <v/>
      </c>
      <c r="L12" s="14">
        <f>Assumptions!$C$26/4*X12</f>
        <v/>
      </c>
      <c r="M12" s="14">
        <f>Assumptions!$C$27/4*X12</f>
        <v/>
      </c>
      <c r="N12" s="14">
        <f>Assumptions!$C$28/4*X12</f>
        <v/>
      </c>
      <c r="O12" s="14">
        <f>IF(A12=0,Assumptions!$C$16+Assumptions!$C$31+Assumptions!$C$32,IF(A12=1,Assumptions!$C$15-Assumptions!$C$16,0))</f>
        <v/>
      </c>
      <c r="P12" s="14">
        <f>Assumptions!$C$29/4*X12</f>
        <v/>
      </c>
      <c r="Q12" s="14">
        <f>SUM(J12:P12)+Z12</f>
        <v/>
      </c>
      <c r="R12" s="14">
        <f>I12-Q12</f>
        <v/>
      </c>
      <c r="S12" s="14">
        <f>S11+R12</f>
        <v/>
      </c>
      <c r="T12" s="14">
        <f>IF(OR(A12=0,A12&gt;Assumptions!$C$12),0,D12*(1-Assumptions!$C$19)/Assumptions!$C$12+IF(A12=1+Assumptions!$C$8,Assumptions!$C$7*(1-Assumptions!$C$19)/Assumptions!$C$12*Assumptions!$C$8,0))+Y12</f>
        <v/>
      </c>
      <c r="U12" s="14">
        <f>IF(A12&gt;Assumptions!$C$12,V11*Assumptions!$C$23,0)</f>
        <v/>
      </c>
      <c r="V12" s="14">
        <f>V11*(1-IF(A12&gt;Assumptions!$C$12,Assumptions!$C$23,0))+T12</f>
        <v/>
      </c>
      <c r="W12" s="14">
        <f>IF(OR(A12=0,A12&gt;Assumptions!$C$13),0,Assumptions!$C$18/4)</f>
        <v/>
      </c>
      <c r="X12" s="15">
        <f>IF(A12=0,0,IF(A12&gt;Assumptions!$C$12,Assumptions!$C$30,1))</f>
        <v/>
      </c>
      <c r="Y12" s="14">
        <f>IF(AND(A12&gt;=9,A12&lt;=Assumptions!$C$12),Assumptions!$C$20*Assumptions!$C$10*Assumptions!$C$9*Assumptions!$C$12/4/(Assumptions!$C$12-8),0)</f>
        <v/>
      </c>
      <c r="Z12" s="14">
        <f>IF(Assumptions!$C$22=1,0,Assumptions!$C$21*(T12-Y12+F12+G12+W12))</f>
        <v/>
      </c>
    </row>
    <row r="13">
      <c r="A13" t="n">
        <v>8</v>
      </c>
      <c r="B13">
        <f>IF(A13=0,0,ROUNDUP(A13/4,0))</f>
        <v/>
      </c>
      <c r="C13">
        <f>IF(A13=0,"Pre-close","Y"&amp;B13&amp;" Q"&amp;(A13-(B13-1)*4))</f>
        <v/>
      </c>
      <c r="D13" s="14">
        <f>IF(A13=0,0,Assumptions!$C$6+IF(A13&gt;=1+Assumptions!$C$8,Assumptions!$C$7,0))</f>
        <v/>
      </c>
      <c r="E13" s="14">
        <f>IF(A13&lt;=Assumptions!$C$12,D13,V12)</f>
        <v/>
      </c>
      <c r="F13" s="14">
        <f>IF(OR(A13=0,A13&gt;Assumptions!$C$13),0,IF(A13&lt;=Assumptions!$C$12,Assumptions!$C$10,Assumptions!$C$11)*E13/4)-IF(Assumptions!$C$22=1,Assumptions!$C$21*(T13-Y13),0)</f>
        <v/>
      </c>
      <c r="G13" s="14">
        <f>IF(A13=1+Assumptions!$C$8,Assumptions!$C$7*Assumptions!$C$10*(Assumptions!$C$8/4)*(1+Assumptions!$C$14*(Assumptions!$C$8/4)/2),0)</f>
        <v/>
      </c>
      <c r="H13" s="14">
        <f>IF(A13=1,MIN(Assumptions!$C$15,Assumptions!$C$17*Assumptions!$C$6),IF(A13=1+Assumptions!$C$8,MIN(Assumptions!$C$15,Assumptions!$C$17*Assumptions!$C$9)-MIN(Assumptions!$C$15,Assumptions!$C$17*Assumptions!$C$6),0))</f>
        <v/>
      </c>
      <c r="I13" s="14">
        <f>F13+G13+H13</f>
        <v/>
      </c>
      <c r="J13" s="14">
        <f>Assumptions!$C$24/4*X13</f>
        <v/>
      </c>
      <c r="K13" s="14">
        <f>Assumptions!$C$25/4*X13</f>
        <v/>
      </c>
      <c r="L13" s="14">
        <f>Assumptions!$C$26/4*X13</f>
        <v/>
      </c>
      <c r="M13" s="14">
        <f>Assumptions!$C$27/4*X13</f>
        <v/>
      </c>
      <c r="N13" s="14">
        <f>Assumptions!$C$28/4*X13</f>
        <v/>
      </c>
      <c r="O13" s="14">
        <f>IF(A13=0,Assumptions!$C$16+Assumptions!$C$31+Assumptions!$C$32,IF(A13=1,Assumptions!$C$15-Assumptions!$C$16,0))</f>
        <v/>
      </c>
      <c r="P13" s="14">
        <f>Assumptions!$C$29/4*X13</f>
        <v/>
      </c>
      <c r="Q13" s="14">
        <f>SUM(J13:P13)+Z13</f>
        <v/>
      </c>
      <c r="R13" s="14">
        <f>I13-Q13</f>
        <v/>
      </c>
      <c r="S13" s="14">
        <f>S12+R13</f>
        <v/>
      </c>
      <c r="T13" s="14">
        <f>IF(OR(A13=0,A13&gt;Assumptions!$C$12),0,D13*(1-Assumptions!$C$19)/Assumptions!$C$12+IF(A13=1+Assumptions!$C$8,Assumptions!$C$7*(1-Assumptions!$C$19)/Assumptions!$C$12*Assumptions!$C$8,0))+Y13</f>
        <v/>
      </c>
      <c r="U13" s="14">
        <f>IF(A13&gt;Assumptions!$C$12,V12*Assumptions!$C$23,0)</f>
        <v/>
      </c>
      <c r="V13" s="14">
        <f>V12*(1-IF(A13&gt;Assumptions!$C$12,Assumptions!$C$23,0))+T13</f>
        <v/>
      </c>
      <c r="W13" s="14">
        <f>IF(OR(A13=0,A13&gt;Assumptions!$C$13),0,Assumptions!$C$18/4)</f>
        <v/>
      </c>
      <c r="X13" s="15">
        <f>IF(A13=0,0,IF(A13&gt;Assumptions!$C$12,Assumptions!$C$30,1))</f>
        <v/>
      </c>
      <c r="Y13" s="14">
        <f>IF(AND(A13&gt;=9,A13&lt;=Assumptions!$C$12),Assumptions!$C$20*Assumptions!$C$10*Assumptions!$C$9*Assumptions!$C$12/4/(Assumptions!$C$12-8),0)</f>
        <v/>
      </c>
      <c r="Z13" s="14">
        <f>IF(Assumptions!$C$22=1,0,Assumptions!$C$21*(T13-Y13+F13+G13+W13))</f>
        <v/>
      </c>
    </row>
    <row r="14">
      <c r="A14" t="n">
        <v>9</v>
      </c>
      <c r="B14">
        <f>IF(A14=0,0,ROUNDUP(A14/4,0))</f>
        <v/>
      </c>
      <c r="C14">
        <f>IF(A14=0,"Pre-close","Y"&amp;B14&amp;" Q"&amp;(A14-(B14-1)*4))</f>
        <v/>
      </c>
      <c r="D14" s="14">
        <f>IF(A14=0,0,Assumptions!$C$6+IF(A14&gt;=1+Assumptions!$C$8,Assumptions!$C$7,0))</f>
        <v/>
      </c>
      <c r="E14" s="14">
        <f>IF(A14&lt;=Assumptions!$C$12,D14,V13)</f>
        <v/>
      </c>
      <c r="F14" s="14">
        <f>IF(OR(A14=0,A14&gt;Assumptions!$C$13),0,IF(A14&lt;=Assumptions!$C$12,Assumptions!$C$10,Assumptions!$C$11)*E14/4)-IF(Assumptions!$C$22=1,Assumptions!$C$21*(T14-Y14),0)</f>
        <v/>
      </c>
      <c r="G14" s="14">
        <f>IF(A14=1+Assumptions!$C$8,Assumptions!$C$7*Assumptions!$C$10*(Assumptions!$C$8/4)*(1+Assumptions!$C$14*(Assumptions!$C$8/4)/2),0)</f>
        <v/>
      </c>
      <c r="H14" s="14">
        <f>IF(A14=1,MIN(Assumptions!$C$15,Assumptions!$C$17*Assumptions!$C$6),IF(A14=1+Assumptions!$C$8,MIN(Assumptions!$C$15,Assumptions!$C$17*Assumptions!$C$9)-MIN(Assumptions!$C$15,Assumptions!$C$17*Assumptions!$C$6),0))</f>
        <v/>
      </c>
      <c r="I14" s="14">
        <f>F14+G14+H14</f>
        <v/>
      </c>
      <c r="J14" s="14">
        <f>Assumptions!$C$24/4*X14</f>
        <v/>
      </c>
      <c r="K14" s="14">
        <f>Assumptions!$C$25/4*X14</f>
        <v/>
      </c>
      <c r="L14" s="14">
        <f>Assumptions!$C$26/4*X14</f>
        <v/>
      </c>
      <c r="M14" s="14">
        <f>Assumptions!$C$27/4*X14</f>
        <v/>
      </c>
      <c r="N14" s="14">
        <f>Assumptions!$C$28/4*X14</f>
        <v/>
      </c>
      <c r="O14" s="14">
        <f>IF(A14=0,Assumptions!$C$16+Assumptions!$C$31+Assumptions!$C$32,IF(A14=1,Assumptions!$C$15-Assumptions!$C$16,0))</f>
        <v/>
      </c>
      <c r="P14" s="14">
        <f>Assumptions!$C$29/4*X14</f>
        <v/>
      </c>
      <c r="Q14" s="14">
        <f>SUM(J14:P14)+Z14</f>
        <v/>
      </c>
      <c r="R14" s="14">
        <f>I14-Q14</f>
        <v/>
      </c>
      <c r="S14" s="14">
        <f>S13+R14</f>
        <v/>
      </c>
      <c r="T14" s="14">
        <f>IF(OR(A14=0,A14&gt;Assumptions!$C$12),0,D14*(1-Assumptions!$C$19)/Assumptions!$C$12+IF(A14=1+Assumptions!$C$8,Assumptions!$C$7*(1-Assumptions!$C$19)/Assumptions!$C$12*Assumptions!$C$8,0))+Y14</f>
        <v/>
      </c>
      <c r="U14" s="14">
        <f>IF(A14&gt;Assumptions!$C$12,V13*Assumptions!$C$23,0)</f>
        <v/>
      </c>
      <c r="V14" s="14">
        <f>V13*(1-IF(A14&gt;Assumptions!$C$12,Assumptions!$C$23,0))+T14</f>
        <v/>
      </c>
      <c r="W14" s="14">
        <f>IF(OR(A14=0,A14&gt;Assumptions!$C$13),0,Assumptions!$C$18/4)</f>
        <v/>
      </c>
      <c r="X14" s="15">
        <f>IF(A14=0,0,IF(A14&gt;Assumptions!$C$12,Assumptions!$C$30,1))</f>
        <v/>
      </c>
      <c r="Y14" s="14">
        <f>IF(AND(A14&gt;=9,A14&lt;=Assumptions!$C$12),Assumptions!$C$20*Assumptions!$C$10*Assumptions!$C$9*Assumptions!$C$12/4/(Assumptions!$C$12-8),0)</f>
        <v/>
      </c>
      <c r="Z14" s="14">
        <f>IF(Assumptions!$C$22=1,0,Assumptions!$C$21*(T14-Y14+F14+G14+W14))</f>
        <v/>
      </c>
    </row>
    <row r="15">
      <c r="A15" t="n">
        <v>10</v>
      </c>
      <c r="B15">
        <f>IF(A15=0,0,ROUNDUP(A15/4,0))</f>
        <v/>
      </c>
      <c r="C15">
        <f>IF(A15=0,"Pre-close","Y"&amp;B15&amp;" Q"&amp;(A15-(B15-1)*4))</f>
        <v/>
      </c>
      <c r="D15" s="14">
        <f>IF(A15=0,0,Assumptions!$C$6+IF(A15&gt;=1+Assumptions!$C$8,Assumptions!$C$7,0))</f>
        <v/>
      </c>
      <c r="E15" s="14">
        <f>IF(A15&lt;=Assumptions!$C$12,D15,V14)</f>
        <v/>
      </c>
      <c r="F15" s="14">
        <f>IF(OR(A15=0,A15&gt;Assumptions!$C$13),0,IF(A15&lt;=Assumptions!$C$12,Assumptions!$C$10,Assumptions!$C$11)*E15/4)-IF(Assumptions!$C$22=1,Assumptions!$C$21*(T15-Y15),0)</f>
        <v/>
      </c>
      <c r="G15" s="14">
        <f>IF(A15=1+Assumptions!$C$8,Assumptions!$C$7*Assumptions!$C$10*(Assumptions!$C$8/4)*(1+Assumptions!$C$14*(Assumptions!$C$8/4)/2),0)</f>
        <v/>
      </c>
      <c r="H15" s="14">
        <f>IF(A15=1,MIN(Assumptions!$C$15,Assumptions!$C$17*Assumptions!$C$6),IF(A15=1+Assumptions!$C$8,MIN(Assumptions!$C$15,Assumptions!$C$17*Assumptions!$C$9)-MIN(Assumptions!$C$15,Assumptions!$C$17*Assumptions!$C$6),0))</f>
        <v/>
      </c>
      <c r="I15" s="14">
        <f>F15+G15+H15</f>
        <v/>
      </c>
      <c r="J15" s="14">
        <f>Assumptions!$C$24/4*X15</f>
        <v/>
      </c>
      <c r="K15" s="14">
        <f>Assumptions!$C$25/4*X15</f>
        <v/>
      </c>
      <c r="L15" s="14">
        <f>Assumptions!$C$26/4*X15</f>
        <v/>
      </c>
      <c r="M15" s="14">
        <f>Assumptions!$C$27/4*X15</f>
        <v/>
      </c>
      <c r="N15" s="14">
        <f>Assumptions!$C$28/4*X15</f>
        <v/>
      </c>
      <c r="O15" s="14">
        <f>IF(A15=0,Assumptions!$C$16+Assumptions!$C$31+Assumptions!$C$32,IF(A15=1,Assumptions!$C$15-Assumptions!$C$16,0))</f>
        <v/>
      </c>
      <c r="P15" s="14">
        <f>Assumptions!$C$29/4*X15</f>
        <v/>
      </c>
      <c r="Q15" s="14">
        <f>SUM(J15:P15)+Z15</f>
        <v/>
      </c>
      <c r="R15" s="14">
        <f>I15-Q15</f>
        <v/>
      </c>
      <c r="S15" s="14">
        <f>S14+R15</f>
        <v/>
      </c>
      <c r="T15" s="14">
        <f>IF(OR(A15=0,A15&gt;Assumptions!$C$12),0,D15*(1-Assumptions!$C$19)/Assumptions!$C$12+IF(A15=1+Assumptions!$C$8,Assumptions!$C$7*(1-Assumptions!$C$19)/Assumptions!$C$12*Assumptions!$C$8,0))+Y15</f>
        <v/>
      </c>
      <c r="U15" s="14">
        <f>IF(A15&gt;Assumptions!$C$12,V14*Assumptions!$C$23,0)</f>
        <v/>
      </c>
      <c r="V15" s="14">
        <f>V14*(1-IF(A15&gt;Assumptions!$C$12,Assumptions!$C$23,0))+T15</f>
        <v/>
      </c>
      <c r="W15" s="14">
        <f>IF(OR(A15=0,A15&gt;Assumptions!$C$13),0,Assumptions!$C$18/4)</f>
        <v/>
      </c>
      <c r="X15" s="15">
        <f>IF(A15=0,0,IF(A15&gt;Assumptions!$C$12,Assumptions!$C$30,1))</f>
        <v/>
      </c>
      <c r="Y15" s="14">
        <f>IF(AND(A15&gt;=9,A15&lt;=Assumptions!$C$12),Assumptions!$C$20*Assumptions!$C$10*Assumptions!$C$9*Assumptions!$C$12/4/(Assumptions!$C$12-8),0)</f>
        <v/>
      </c>
      <c r="Z15" s="14">
        <f>IF(Assumptions!$C$22=1,0,Assumptions!$C$21*(T15-Y15+F15+G15+W15))</f>
        <v/>
      </c>
    </row>
    <row r="16">
      <c r="A16" t="n">
        <v>11</v>
      </c>
      <c r="B16">
        <f>IF(A16=0,0,ROUNDUP(A16/4,0))</f>
        <v/>
      </c>
      <c r="C16">
        <f>IF(A16=0,"Pre-close","Y"&amp;B16&amp;" Q"&amp;(A16-(B16-1)*4))</f>
        <v/>
      </c>
      <c r="D16" s="14">
        <f>IF(A16=0,0,Assumptions!$C$6+IF(A16&gt;=1+Assumptions!$C$8,Assumptions!$C$7,0))</f>
        <v/>
      </c>
      <c r="E16" s="14">
        <f>IF(A16&lt;=Assumptions!$C$12,D16,V15)</f>
        <v/>
      </c>
      <c r="F16" s="14">
        <f>IF(OR(A16=0,A16&gt;Assumptions!$C$13),0,IF(A16&lt;=Assumptions!$C$12,Assumptions!$C$10,Assumptions!$C$11)*E16/4)-IF(Assumptions!$C$22=1,Assumptions!$C$21*(T16-Y16),0)</f>
        <v/>
      </c>
      <c r="G16" s="14">
        <f>IF(A16=1+Assumptions!$C$8,Assumptions!$C$7*Assumptions!$C$10*(Assumptions!$C$8/4)*(1+Assumptions!$C$14*(Assumptions!$C$8/4)/2),0)</f>
        <v/>
      </c>
      <c r="H16" s="14">
        <f>IF(A16=1,MIN(Assumptions!$C$15,Assumptions!$C$17*Assumptions!$C$6),IF(A16=1+Assumptions!$C$8,MIN(Assumptions!$C$15,Assumptions!$C$17*Assumptions!$C$9)-MIN(Assumptions!$C$15,Assumptions!$C$17*Assumptions!$C$6),0))</f>
        <v/>
      </c>
      <c r="I16" s="14">
        <f>F16+G16+H16</f>
        <v/>
      </c>
      <c r="J16" s="14">
        <f>Assumptions!$C$24/4*X16</f>
        <v/>
      </c>
      <c r="K16" s="14">
        <f>Assumptions!$C$25/4*X16</f>
        <v/>
      </c>
      <c r="L16" s="14">
        <f>Assumptions!$C$26/4*X16</f>
        <v/>
      </c>
      <c r="M16" s="14">
        <f>Assumptions!$C$27/4*X16</f>
        <v/>
      </c>
      <c r="N16" s="14">
        <f>Assumptions!$C$28/4*X16</f>
        <v/>
      </c>
      <c r="O16" s="14">
        <f>IF(A16=0,Assumptions!$C$16+Assumptions!$C$31+Assumptions!$C$32,IF(A16=1,Assumptions!$C$15-Assumptions!$C$16,0))</f>
        <v/>
      </c>
      <c r="P16" s="14">
        <f>Assumptions!$C$29/4*X16</f>
        <v/>
      </c>
      <c r="Q16" s="14">
        <f>SUM(J16:P16)+Z16</f>
        <v/>
      </c>
      <c r="R16" s="14">
        <f>I16-Q16</f>
        <v/>
      </c>
      <c r="S16" s="14">
        <f>S15+R16</f>
        <v/>
      </c>
      <c r="T16" s="14">
        <f>IF(OR(A16=0,A16&gt;Assumptions!$C$12),0,D16*(1-Assumptions!$C$19)/Assumptions!$C$12+IF(A16=1+Assumptions!$C$8,Assumptions!$C$7*(1-Assumptions!$C$19)/Assumptions!$C$12*Assumptions!$C$8,0))+Y16</f>
        <v/>
      </c>
      <c r="U16" s="14">
        <f>IF(A16&gt;Assumptions!$C$12,V15*Assumptions!$C$23,0)</f>
        <v/>
      </c>
      <c r="V16" s="14">
        <f>V15*(1-IF(A16&gt;Assumptions!$C$12,Assumptions!$C$23,0))+T16</f>
        <v/>
      </c>
      <c r="W16" s="14">
        <f>IF(OR(A16=0,A16&gt;Assumptions!$C$13),0,Assumptions!$C$18/4)</f>
        <v/>
      </c>
      <c r="X16" s="15">
        <f>IF(A16=0,0,IF(A16&gt;Assumptions!$C$12,Assumptions!$C$30,1))</f>
        <v/>
      </c>
      <c r="Y16" s="14">
        <f>IF(AND(A16&gt;=9,A16&lt;=Assumptions!$C$12),Assumptions!$C$20*Assumptions!$C$10*Assumptions!$C$9*Assumptions!$C$12/4/(Assumptions!$C$12-8),0)</f>
        <v/>
      </c>
      <c r="Z16" s="14">
        <f>IF(Assumptions!$C$22=1,0,Assumptions!$C$21*(T16-Y16+F16+G16+W16))</f>
        <v/>
      </c>
    </row>
    <row r="17">
      <c r="A17" t="n">
        <v>12</v>
      </c>
      <c r="B17">
        <f>IF(A17=0,0,ROUNDUP(A17/4,0))</f>
        <v/>
      </c>
      <c r="C17">
        <f>IF(A17=0,"Pre-close","Y"&amp;B17&amp;" Q"&amp;(A17-(B17-1)*4))</f>
        <v/>
      </c>
      <c r="D17" s="14">
        <f>IF(A17=0,0,Assumptions!$C$6+IF(A17&gt;=1+Assumptions!$C$8,Assumptions!$C$7,0))</f>
        <v/>
      </c>
      <c r="E17" s="14">
        <f>IF(A17&lt;=Assumptions!$C$12,D17,V16)</f>
        <v/>
      </c>
      <c r="F17" s="14">
        <f>IF(OR(A17=0,A17&gt;Assumptions!$C$13),0,IF(A17&lt;=Assumptions!$C$12,Assumptions!$C$10,Assumptions!$C$11)*E17/4)-IF(Assumptions!$C$22=1,Assumptions!$C$21*(T17-Y17),0)</f>
        <v/>
      </c>
      <c r="G17" s="14">
        <f>IF(A17=1+Assumptions!$C$8,Assumptions!$C$7*Assumptions!$C$10*(Assumptions!$C$8/4)*(1+Assumptions!$C$14*(Assumptions!$C$8/4)/2),0)</f>
        <v/>
      </c>
      <c r="H17" s="14">
        <f>IF(A17=1,MIN(Assumptions!$C$15,Assumptions!$C$17*Assumptions!$C$6),IF(A17=1+Assumptions!$C$8,MIN(Assumptions!$C$15,Assumptions!$C$17*Assumptions!$C$9)-MIN(Assumptions!$C$15,Assumptions!$C$17*Assumptions!$C$6),0))</f>
        <v/>
      </c>
      <c r="I17" s="14">
        <f>F17+G17+H17</f>
        <v/>
      </c>
      <c r="J17" s="14">
        <f>Assumptions!$C$24/4*X17</f>
        <v/>
      </c>
      <c r="K17" s="14">
        <f>Assumptions!$C$25/4*X17</f>
        <v/>
      </c>
      <c r="L17" s="14">
        <f>Assumptions!$C$26/4*X17</f>
        <v/>
      </c>
      <c r="M17" s="14">
        <f>Assumptions!$C$27/4*X17</f>
        <v/>
      </c>
      <c r="N17" s="14">
        <f>Assumptions!$C$28/4*X17</f>
        <v/>
      </c>
      <c r="O17" s="14">
        <f>IF(A17=0,Assumptions!$C$16+Assumptions!$C$31+Assumptions!$C$32,IF(A17=1,Assumptions!$C$15-Assumptions!$C$16,0))</f>
        <v/>
      </c>
      <c r="P17" s="14">
        <f>Assumptions!$C$29/4*X17</f>
        <v/>
      </c>
      <c r="Q17" s="14">
        <f>SUM(J17:P17)+Z17</f>
        <v/>
      </c>
      <c r="R17" s="14">
        <f>I17-Q17</f>
        <v/>
      </c>
      <c r="S17" s="14">
        <f>S16+R17</f>
        <v/>
      </c>
      <c r="T17" s="14">
        <f>IF(OR(A17=0,A17&gt;Assumptions!$C$12),0,D17*(1-Assumptions!$C$19)/Assumptions!$C$12+IF(A17=1+Assumptions!$C$8,Assumptions!$C$7*(1-Assumptions!$C$19)/Assumptions!$C$12*Assumptions!$C$8,0))+Y17</f>
        <v/>
      </c>
      <c r="U17" s="14">
        <f>IF(A17&gt;Assumptions!$C$12,V16*Assumptions!$C$23,0)</f>
        <v/>
      </c>
      <c r="V17" s="14">
        <f>V16*(1-IF(A17&gt;Assumptions!$C$12,Assumptions!$C$23,0))+T17</f>
        <v/>
      </c>
      <c r="W17" s="14">
        <f>IF(OR(A17=0,A17&gt;Assumptions!$C$13),0,Assumptions!$C$18/4)</f>
        <v/>
      </c>
      <c r="X17" s="15">
        <f>IF(A17=0,0,IF(A17&gt;Assumptions!$C$12,Assumptions!$C$30,1))</f>
        <v/>
      </c>
      <c r="Y17" s="14">
        <f>IF(AND(A17&gt;=9,A17&lt;=Assumptions!$C$12),Assumptions!$C$20*Assumptions!$C$10*Assumptions!$C$9*Assumptions!$C$12/4/(Assumptions!$C$12-8),0)</f>
        <v/>
      </c>
      <c r="Z17" s="14">
        <f>IF(Assumptions!$C$22=1,0,Assumptions!$C$21*(T17-Y17+F17+G17+W17))</f>
        <v/>
      </c>
    </row>
    <row r="18">
      <c r="A18" t="n">
        <v>13</v>
      </c>
      <c r="B18">
        <f>IF(A18=0,0,ROUNDUP(A18/4,0))</f>
        <v/>
      </c>
      <c r="C18">
        <f>IF(A18=0,"Pre-close","Y"&amp;B18&amp;" Q"&amp;(A18-(B18-1)*4))</f>
        <v/>
      </c>
      <c r="D18" s="14">
        <f>IF(A18=0,0,Assumptions!$C$6+IF(A18&gt;=1+Assumptions!$C$8,Assumptions!$C$7,0))</f>
        <v/>
      </c>
      <c r="E18" s="14">
        <f>IF(A18&lt;=Assumptions!$C$12,D18,V17)</f>
        <v/>
      </c>
      <c r="F18" s="14">
        <f>IF(OR(A18=0,A18&gt;Assumptions!$C$13),0,IF(A18&lt;=Assumptions!$C$12,Assumptions!$C$10,Assumptions!$C$11)*E18/4)-IF(Assumptions!$C$22=1,Assumptions!$C$21*(T18-Y18),0)</f>
        <v/>
      </c>
      <c r="G18" s="14">
        <f>IF(A18=1+Assumptions!$C$8,Assumptions!$C$7*Assumptions!$C$10*(Assumptions!$C$8/4)*(1+Assumptions!$C$14*(Assumptions!$C$8/4)/2),0)</f>
        <v/>
      </c>
      <c r="H18" s="14">
        <f>IF(A18=1,MIN(Assumptions!$C$15,Assumptions!$C$17*Assumptions!$C$6),IF(A18=1+Assumptions!$C$8,MIN(Assumptions!$C$15,Assumptions!$C$17*Assumptions!$C$9)-MIN(Assumptions!$C$15,Assumptions!$C$17*Assumptions!$C$6),0))</f>
        <v/>
      </c>
      <c r="I18" s="14">
        <f>F18+G18+H18</f>
        <v/>
      </c>
      <c r="J18" s="14">
        <f>Assumptions!$C$24/4*X18</f>
        <v/>
      </c>
      <c r="K18" s="14">
        <f>Assumptions!$C$25/4*X18</f>
        <v/>
      </c>
      <c r="L18" s="14">
        <f>Assumptions!$C$26/4*X18</f>
        <v/>
      </c>
      <c r="M18" s="14">
        <f>Assumptions!$C$27/4*X18</f>
        <v/>
      </c>
      <c r="N18" s="14">
        <f>Assumptions!$C$28/4*X18</f>
        <v/>
      </c>
      <c r="O18" s="14">
        <f>IF(A18=0,Assumptions!$C$16+Assumptions!$C$31+Assumptions!$C$32,IF(A18=1,Assumptions!$C$15-Assumptions!$C$16,0))</f>
        <v/>
      </c>
      <c r="P18" s="14">
        <f>Assumptions!$C$29/4*X18</f>
        <v/>
      </c>
      <c r="Q18" s="14">
        <f>SUM(J18:P18)+Z18</f>
        <v/>
      </c>
      <c r="R18" s="14">
        <f>I18-Q18</f>
        <v/>
      </c>
      <c r="S18" s="14">
        <f>S17+R18</f>
        <v/>
      </c>
      <c r="T18" s="14">
        <f>IF(OR(A18=0,A18&gt;Assumptions!$C$12),0,D18*(1-Assumptions!$C$19)/Assumptions!$C$12+IF(A18=1+Assumptions!$C$8,Assumptions!$C$7*(1-Assumptions!$C$19)/Assumptions!$C$12*Assumptions!$C$8,0))+Y18</f>
        <v/>
      </c>
      <c r="U18" s="14">
        <f>IF(A18&gt;Assumptions!$C$12,V17*Assumptions!$C$23,0)</f>
        <v/>
      </c>
      <c r="V18" s="14">
        <f>V17*(1-IF(A18&gt;Assumptions!$C$12,Assumptions!$C$23,0))+T18</f>
        <v/>
      </c>
      <c r="W18" s="14">
        <f>IF(OR(A18=0,A18&gt;Assumptions!$C$13),0,Assumptions!$C$18/4)</f>
        <v/>
      </c>
      <c r="X18" s="15">
        <f>IF(A18=0,0,IF(A18&gt;Assumptions!$C$12,Assumptions!$C$30,1))</f>
        <v/>
      </c>
      <c r="Y18" s="14">
        <f>IF(AND(A18&gt;=9,A18&lt;=Assumptions!$C$12),Assumptions!$C$20*Assumptions!$C$10*Assumptions!$C$9*Assumptions!$C$12/4/(Assumptions!$C$12-8),0)</f>
        <v/>
      </c>
      <c r="Z18" s="14">
        <f>IF(Assumptions!$C$22=1,0,Assumptions!$C$21*(T18-Y18+F18+G18+W18))</f>
        <v/>
      </c>
    </row>
    <row r="19">
      <c r="A19" t="n">
        <v>14</v>
      </c>
      <c r="B19">
        <f>IF(A19=0,0,ROUNDUP(A19/4,0))</f>
        <v/>
      </c>
      <c r="C19">
        <f>IF(A19=0,"Pre-close","Y"&amp;B19&amp;" Q"&amp;(A19-(B19-1)*4))</f>
        <v/>
      </c>
      <c r="D19" s="14">
        <f>IF(A19=0,0,Assumptions!$C$6+IF(A19&gt;=1+Assumptions!$C$8,Assumptions!$C$7,0))</f>
        <v/>
      </c>
      <c r="E19" s="14">
        <f>IF(A19&lt;=Assumptions!$C$12,D19,V18)</f>
        <v/>
      </c>
      <c r="F19" s="14">
        <f>IF(OR(A19=0,A19&gt;Assumptions!$C$13),0,IF(A19&lt;=Assumptions!$C$12,Assumptions!$C$10,Assumptions!$C$11)*E19/4)-IF(Assumptions!$C$22=1,Assumptions!$C$21*(T19-Y19),0)</f>
        <v/>
      </c>
      <c r="G19" s="14">
        <f>IF(A19=1+Assumptions!$C$8,Assumptions!$C$7*Assumptions!$C$10*(Assumptions!$C$8/4)*(1+Assumptions!$C$14*(Assumptions!$C$8/4)/2),0)</f>
        <v/>
      </c>
      <c r="H19" s="14">
        <f>IF(A19=1,MIN(Assumptions!$C$15,Assumptions!$C$17*Assumptions!$C$6),IF(A19=1+Assumptions!$C$8,MIN(Assumptions!$C$15,Assumptions!$C$17*Assumptions!$C$9)-MIN(Assumptions!$C$15,Assumptions!$C$17*Assumptions!$C$6),0))</f>
        <v/>
      </c>
      <c r="I19" s="14">
        <f>F19+G19+H19</f>
        <v/>
      </c>
      <c r="J19" s="14">
        <f>Assumptions!$C$24/4*X19</f>
        <v/>
      </c>
      <c r="K19" s="14">
        <f>Assumptions!$C$25/4*X19</f>
        <v/>
      </c>
      <c r="L19" s="14">
        <f>Assumptions!$C$26/4*X19</f>
        <v/>
      </c>
      <c r="M19" s="14">
        <f>Assumptions!$C$27/4*X19</f>
        <v/>
      </c>
      <c r="N19" s="14">
        <f>Assumptions!$C$28/4*X19</f>
        <v/>
      </c>
      <c r="O19" s="14">
        <f>IF(A19=0,Assumptions!$C$16+Assumptions!$C$31+Assumptions!$C$32,IF(A19=1,Assumptions!$C$15-Assumptions!$C$16,0))</f>
        <v/>
      </c>
      <c r="P19" s="14">
        <f>Assumptions!$C$29/4*X19</f>
        <v/>
      </c>
      <c r="Q19" s="14">
        <f>SUM(J19:P19)+Z19</f>
        <v/>
      </c>
      <c r="R19" s="14">
        <f>I19-Q19</f>
        <v/>
      </c>
      <c r="S19" s="14">
        <f>S18+R19</f>
        <v/>
      </c>
      <c r="T19" s="14">
        <f>IF(OR(A19=0,A19&gt;Assumptions!$C$12),0,D19*(1-Assumptions!$C$19)/Assumptions!$C$12+IF(A19=1+Assumptions!$C$8,Assumptions!$C$7*(1-Assumptions!$C$19)/Assumptions!$C$12*Assumptions!$C$8,0))+Y19</f>
        <v/>
      </c>
      <c r="U19" s="14">
        <f>IF(A19&gt;Assumptions!$C$12,V18*Assumptions!$C$23,0)</f>
        <v/>
      </c>
      <c r="V19" s="14">
        <f>V18*(1-IF(A19&gt;Assumptions!$C$12,Assumptions!$C$23,0))+T19</f>
        <v/>
      </c>
      <c r="W19" s="14">
        <f>IF(OR(A19=0,A19&gt;Assumptions!$C$13),0,Assumptions!$C$18/4)</f>
        <v/>
      </c>
      <c r="X19" s="15">
        <f>IF(A19=0,0,IF(A19&gt;Assumptions!$C$12,Assumptions!$C$30,1))</f>
        <v/>
      </c>
      <c r="Y19" s="14">
        <f>IF(AND(A19&gt;=9,A19&lt;=Assumptions!$C$12),Assumptions!$C$20*Assumptions!$C$10*Assumptions!$C$9*Assumptions!$C$12/4/(Assumptions!$C$12-8),0)</f>
        <v/>
      </c>
      <c r="Z19" s="14">
        <f>IF(Assumptions!$C$22=1,0,Assumptions!$C$21*(T19-Y19+F19+G19+W19))</f>
        <v/>
      </c>
    </row>
    <row r="20">
      <c r="A20" t="n">
        <v>15</v>
      </c>
      <c r="B20">
        <f>IF(A20=0,0,ROUNDUP(A20/4,0))</f>
        <v/>
      </c>
      <c r="C20">
        <f>IF(A20=0,"Pre-close","Y"&amp;B20&amp;" Q"&amp;(A20-(B20-1)*4))</f>
        <v/>
      </c>
      <c r="D20" s="14">
        <f>IF(A20=0,0,Assumptions!$C$6+IF(A20&gt;=1+Assumptions!$C$8,Assumptions!$C$7,0))</f>
        <v/>
      </c>
      <c r="E20" s="14">
        <f>IF(A20&lt;=Assumptions!$C$12,D20,V19)</f>
        <v/>
      </c>
      <c r="F20" s="14">
        <f>IF(OR(A20=0,A20&gt;Assumptions!$C$13),0,IF(A20&lt;=Assumptions!$C$12,Assumptions!$C$10,Assumptions!$C$11)*E20/4)-IF(Assumptions!$C$22=1,Assumptions!$C$21*(T20-Y20),0)</f>
        <v/>
      </c>
      <c r="G20" s="14">
        <f>IF(A20=1+Assumptions!$C$8,Assumptions!$C$7*Assumptions!$C$10*(Assumptions!$C$8/4)*(1+Assumptions!$C$14*(Assumptions!$C$8/4)/2),0)</f>
        <v/>
      </c>
      <c r="H20" s="14">
        <f>IF(A20=1,MIN(Assumptions!$C$15,Assumptions!$C$17*Assumptions!$C$6),IF(A20=1+Assumptions!$C$8,MIN(Assumptions!$C$15,Assumptions!$C$17*Assumptions!$C$9)-MIN(Assumptions!$C$15,Assumptions!$C$17*Assumptions!$C$6),0))</f>
        <v/>
      </c>
      <c r="I20" s="14">
        <f>F20+G20+H20</f>
        <v/>
      </c>
      <c r="J20" s="14">
        <f>Assumptions!$C$24/4*X20</f>
        <v/>
      </c>
      <c r="K20" s="14">
        <f>Assumptions!$C$25/4*X20</f>
        <v/>
      </c>
      <c r="L20" s="14">
        <f>Assumptions!$C$26/4*X20</f>
        <v/>
      </c>
      <c r="M20" s="14">
        <f>Assumptions!$C$27/4*X20</f>
        <v/>
      </c>
      <c r="N20" s="14">
        <f>Assumptions!$C$28/4*X20</f>
        <v/>
      </c>
      <c r="O20" s="14">
        <f>IF(A20=0,Assumptions!$C$16+Assumptions!$C$31+Assumptions!$C$32,IF(A20=1,Assumptions!$C$15-Assumptions!$C$16,0))</f>
        <v/>
      </c>
      <c r="P20" s="14">
        <f>Assumptions!$C$29/4*X20</f>
        <v/>
      </c>
      <c r="Q20" s="14">
        <f>SUM(J20:P20)+Z20</f>
        <v/>
      </c>
      <c r="R20" s="14">
        <f>I20-Q20</f>
        <v/>
      </c>
      <c r="S20" s="14">
        <f>S19+R20</f>
        <v/>
      </c>
      <c r="T20" s="14">
        <f>IF(OR(A20=0,A20&gt;Assumptions!$C$12),0,D20*(1-Assumptions!$C$19)/Assumptions!$C$12+IF(A20=1+Assumptions!$C$8,Assumptions!$C$7*(1-Assumptions!$C$19)/Assumptions!$C$12*Assumptions!$C$8,0))+Y20</f>
        <v/>
      </c>
      <c r="U20" s="14">
        <f>IF(A20&gt;Assumptions!$C$12,V19*Assumptions!$C$23,0)</f>
        <v/>
      </c>
      <c r="V20" s="14">
        <f>V19*(1-IF(A20&gt;Assumptions!$C$12,Assumptions!$C$23,0))+T20</f>
        <v/>
      </c>
      <c r="W20" s="14">
        <f>IF(OR(A20=0,A20&gt;Assumptions!$C$13),0,Assumptions!$C$18/4)</f>
        <v/>
      </c>
      <c r="X20" s="15">
        <f>IF(A20=0,0,IF(A20&gt;Assumptions!$C$12,Assumptions!$C$30,1))</f>
        <v/>
      </c>
      <c r="Y20" s="14">
        <f>IF(AND(A20&gt;=9,A20&lt;=Assumptions!$C$12),Assumptions!$C$20*Assumptions!$C$10*Assumptions!$C$9*Assumptions!$C$12/4/(Assumptions!$C$12-8),0)</f>
        <v/>
      </c>
      <c r="Z20" s="14">
        <f>IF(Assumptions!$C$22=1,0,Assumptions!$C$21*(T20-Y20+F20+G20+W20))</f>
        <v/>
      </c>
    </row>
    <row r="21">
      <c r="A21" t="n">
        <v>16</v>
      </c>
      <c r="B21">
        <f>IF(A21=0,0,ROUNDUP(A21/4,0))</f>
        <v/>
      </c>
      <c r="C21">
        <f>IF(A21=0,"Pre-close","Y"&amp;B21&amp;" Q"&amp;(A21-(B21-1)*4))</f>
        <v/>
      </c>
      <c r="D21" s="14">
        <f>IF(A21=0,0,Assumptions!$C$6+IF(A21&gt;=1+Assumptions!$C$8,Assumptions!$C$7,0))</f>
        <v/>
      </c>
      <c r="E21" s="14">
        <f>IF(A21&lt;=Assumptions!$C$12,D21,V20)</f>
        <v/>
      </c>
      <c r="F21" s="14">
        <f>IF(OR(A21=0,A21&gt;Assumptions!$C$13),0,IF(A21&lt;=Assumptions!$C$12,Assumptions!$C$10,Assumptions!$C$11)*E21/4)-IF(Assumptions!$C$22=1,Assumptions!$C$21*(T21-Y21),0)</f>
        <v/>
      </c>
      <c r="G21" s="14">
        <f>IF(A21=1+Assumptions!$C$8,Assumptions!$C$7*Assumptions!$C$10*(Assumptions!$C$8/4)*(1+Assumptions!$C$14*(Assumptions!$C$8/4)/2),0)</f>
        <v/>
      </c>
      <c r="H21" s="14">
        <f>IF(A21=1,MIN(Assumptions!$C$15,Assumptions!$C$17*Assumptions!$C$6),IF(A21=1+Assumptions!$C$8,MIN(Assumptions!$C$15,Assumptions!$C$17*Assumptions!$C$9)-MIN(Assumptions!$C$15,Assumptions!$C$17*Assumptions!$C$6),0))</f>
        <v/>
      </c>
      <c r="I21" s="14">
        <f>F21+G21+H21</f>
        <v/>
      </c>
      <c r="J21" s="14">
        <f>Assumptions!$C$24/4*X21</f>
        <v/>
      </c>
      <c r="K21" s="14">
        <f>Assumptions!$C$25/4*X21</f>
        <v/>
      </c>
      <c r="L21" s="14">
        <f>Assumptions!$C$26/4*X21</f>
        <v/>
      </c>
      <c r="M21" s="14">
        <f>Assumptions!$C$27/4*X21</f>
        <v/>
      </c>
      <c r="N21" s="14">
        <f>Assumptions!$C$28/4*X21</f>
        <v/>
      </c>
      <c r="O21" s="14">
        <f>IF(A21=0,Assumptions!$C$16+Assumptions!$C$31+Assumptions!$C$32,IF(A21=1,Assumptions!$C$15-Assumptions!$C$16,0))</f>
        <v/>
      </c>
      <c r="P21" s="14">
        <f>Assumptions!$C$29/4*X21</f>
        <v/>
      </c>
      <c r="Q21" s="14">
        <f>SUM(J21:P21)+Z21</f>
        <v/>
      </c>
      <c r="R21" s="14">
        <f>I21-Q21</f>
        <v/>
      </c>
      <c r="S21" s="14">
        <f>S20+R21</f>
        <v/>
      </c>
      <c r="T21" s="14">
        <f>IF(OR(A21=0,A21&gt;Assumptions!$C$12),0,D21*(1-Assumptions!$C$19)/Assumptions!$C$12+IF(A21=1+Assumptions!$C$8,Assumptions!$C$7*(1-Assumptions!$C$19)/Assumptions!$C$12*Assumptions!$C$8,0))+Y21</f>
        <v/>
      </c>
      <c r="U21" s="14">
        <f>IF(A21&gt;Assumptions!$C$12,V20*Assumptions!$C$23,0)</f>
        <v/>
      </c>
      <c r="V21" s="14">
        <f>V20*(1-IF(A21&gt;Assumptions!$C$12,Assumptions!$C$23,0))+T21</f>
        <v/>
      </c>
      <c r="W21" s="14">
        <f>IF(OR(A21=0,A21&gt;Assumptions!$C$13),0,Assumptions!$C$18/4)</f>
        <v/>
      </c>
      <c r="X21" s="15">
        <f>IF(A21=0,0,IF(A21&gt;Assumptions!$C$12,Assumptions!$C$30,1))</f>
        <v/>
      </c>
      <c r="Y21" s="14">
        <f>IF(AND(A21&gt;=9,A21&lt;=Assumptions!$C$12),Assumptions!$C$20*Assumptions!$C$10*Assumptions!$C$9*Assumptions!$C$12/4/(Assumptions!$C$12-8),0)</f>
        <v/>
      </c>
      <c r="Z21" s="14">
        <f>IF(Assumptions!$C$22=1,0,Assumptions!$C$21*(T21-Y21+F21+G21+W21))</f>
        <v/>
      </c>
    </row>
    <row r="22">
      <c r="A22" t="n">
        <v>17</v>
      </c>
      <c r="B22">
        <f>IF(A22=0,0,ROUNDUP(A22/4,0))</f>
        <v/>
      </c>
      <c r="C22">
        <f>IF(A22=0,"Pre-close","Y"&amp;B22&amp;" Q"&amp;(A22-(B22-1)*4))</f>
        <v/>
      </c>
      <c r="D22" s="14">
        <f>IF(A22=0,0,Assumptions!$C$6+IF(A22&gt;=1+Assumptions!$C$8,Assumptions!$C$7,0))</f>
        <v/>
      </c>
      <c r="E22" s="14">
        <f>IF(A22&lt;=Assumptions!$C$12,D22,V21)</f>
        <v/>
      </c>
      <c r="F22" s="14">
        <f>IF(OR(A22=0,A22&gt;Assumptions!$C$13),0,IF(A22&lt;=Assumptions!$C$12,Assumptions!$C$10,Assumptions!$C$11)*E22/4)-IF(Assumptions!$C$22=1,Assumptions!$C$21*(T22-Y22),0)</f>
        <v/>
      </c>
      <c r="G22" s="14">
        <f>IF(A22=1+Assumptions!$C$8,Assumptions!$C$7*Assumptions!$C$10*(Assumptions!$C$8/4)*(1+Assumptions!$C$14*(Assumptions!$C$8/4)/2),0)</f>
        <v/>
      </c>
      <c r="H22" s="14">
        <f>IF(A22=1,MIN(Assumptions!$C$15,Assumptions!$C$17*Assumptions!$C$6),IF(A22=1+Assumptions!$C$8,MIN(Assumptions!$C$15,Assumptions!$C$17*Assumptions!$C$9)-MIN(Assumptions!$C$15,Assumptions!$C$17*Assumptions!$C$6),0))</f>
        <v/>
      </c>
      <c r="I22" s="14">
        <f>F22+G22+H22</f>
        <v/>
      </c>
      <c r="J22" s="14">
        <f>Assumptions!$C$24/4*X22</f>
        <v/>
      </c>
      <c r="K22" s="14">
        <f>Assumptions!$C$25/4*X22</f>
        <v/>
      </c>
      <c r="L22" s="14">
        <f>Assumptions!$C$26/4*X22</f>
        <v/>
      </c>
      <c r="M22" s="14">
        <f>Assumptions!$C$27/4*X22</f>
        <v/>
      </c>
      <c r="N22" s="14">
        <f>Assumptions!$C$28/4*X22</f>
        <v/>
      </c>
      <c r="O22" s="14">
        <f>IF(A22=0,Assumptions!$C$16+Assumptions!$C$31+Assumptions!$C$32,IF(A22=1,Assumptions!$C$15-Assumptions!$C$16,0))</f>
        <v/>
      </c>
      <c r="P22" s="14">
        <f>Assumptions!$C$29/4*X22</f>
        <v/>
      </c>
      <c r="Q22" s="14">
        <f>SUM(J22:P22)+Z22</f>
        <v/>
      </c>
      <c r="R22" s="14">
        <f>I22-Q22</f>
        <v/>
      </c>
      <c r="S22" s="14">
        <f>S21+R22</f>
        <v/>
      </c>
      <c r="T22" s="14">
        <f>IF(OR(A22=0,A22&gt;Assumptions!$C$12),0,D22*(1-Assumptions!$C$19)/Assumptions!$C$12+IF(A22=1+Assumptions!$C$8,Assumptions!$C$7*(1-Assumptions!$C$19)/Assumptions!$C$12*Assumptions!$C$8,0))+Y22</f>
        <v/>
      </c>
      <c r="U22" s="14">
        <f>IF(A22&gt;Assumptions!$C$12,V21*Assumptions!$C$23,0)</f>
        <v/>
      </c>
      <c r="V22" s="14">
        <f>V21*(1-IF(A22&gt;Assumptions!$C$12,Assumptions!$C$23,0))+T22</f>
        <v/>
      </c>
      <c r="W22" s="14">
        <f>IF(OR(A22=0,A22&gt;Assumptions!$C$13),0,Assumptions!$C$18/4)</f>
        <v/>
      </c>
      <c r="X22" s="15">
        <f>IF(A22=0,0,IF(A22&gt;Assumptions!$C$12,Assumptions!$C$30,1))</f>
        <v/>
      </c>
      <c r="Y22" s="14">
        <f>IF(AND(A22&gt;=9,A22&lt;=Assumptions!$C$12),Assumptions!$C$20*Assumptions!$C$10*Assumptions!$C$9*Assumptions!$C$12/4/(Assumptions!$C$12-8),0)</f>
        <v/>
      </c>
      <c r="Z22" s="14">
        <f>IF(Assumptions!$C$22=1,0,Assumptions!$C$21*(T22-Y22+F22+G22+W22))</f>
        <v/>
      </c>
    </row>
    <row r="23">
      <c r="A23" t="n">
        <v>18</v>
      </c>
      <c r="B23">
        <f>IF(A23=0,0,ROUNDUP(A23/4,0))</f>
        <v/>
      </c>
      <c r="C23">
        <f>IF(A23=0,"Pre-close","Y"&amp;B23&amp;" Q"&amp;(A23-(B23-1)*4))</f>
        <v/>
      </c>
      <c r="D23" s="14">
        <f>IF(A23=0,0,Assumptions!$C$6+IF(A23&gt;=1+Assumptions!$C$8,Assumptions!$C$7,0))</f>
        <v/>
      </c>
      <c r="E23" s="14">
        <f>IF(A23&lt;=Assumptions!$C$12,D23,V22)</f>
        <v/>
      </c>
      <c r="F23" s="14">
        <f>IF(OR(A23=0,A23&gt;Assumptions!$C$13),0,IF(A23&lt;=Assumptions!$C$12,Assumptions!$C$10,Assumptions!$C$11)*E23/4)-IF(Assumptions!$C$22=1,Assumptions!$C$21*(T23-Y23),0)</f>
        <v/>
      </c>
      <c r="G23" s="14">
        <f>IF(A23=1+Assumptions!$C$8,Assumptions!$C$7*Assumptions!$C$10*(Assumptions!$C$8/4)*(1+Assumptions!$C$14*(Assumptions!$C$8/4)/2),0)</f>
        <v/>
      </c>
      <c r="H23" s="14">
        <f>IF(A23=1,MIN(Assumptions!$C$15,Assumptions!$C$17*Assumptions!$C$6),IF(A23=1+Assumptions!$C$8,MIN(Assumptions!$C$15,Assumptions!$C$17*Assumptions!$C$9)-MIN(Assumptions!$C$15,Assumptions!$C$17*Assumptions!$C$6),0))</f>
        <v/>
      </c>
      <c r="I23" s="14">
        <f>F23+G23+H23</f>
        <v/>
      </c>
      <c r="J23" s="14">
        <f>Assumptions!$C$24/4*X23</f>
        <v/>
      </c>
      <c r="K23" s="14">
        <f>Assumptions!$C$25/4*X23</f>
        <v/>
      </c>
      <c r="L23" s="14">
        <f>Assumptions!$C$26/4*X23</f>
        <v/>
      </c>
      <c r="M23" s="14">
        <f>Assumptions!$C$27/4*X23</f>
        <v/>
      </c>
      <c r="N23" s="14">
        <f>Assumptions!$C$28/4*X23</f>
        <v/>
      </c>
      <c r="O23" s="14">
        <f>IF(A23=0,Assumptions!$C$16+Assumptions!$C$31+Assumptions!$C$32,IF(A23=1,Assumptions!$C$15-Assumptions!$C$16,0))</f>
        <v/>
      </c>
      <c r="P23" s="14">
        <f>Assumptions!$C$29/4*X23</f>
        <v/>
      </c>
      <c r="Q23" s="14">
        <f>SUM(J23:P23)+Z23</f>
        <v/>
      </c>
      <c r="R23" s="14">
        <f>I23-Q23</f>
        <v/>
      </c>
      <c r="S23" s="14">
        <f>S22+R23</f>
        <v/>
      </c>
      <c r="T23" s="14">
        <f>IF(OR(A23=0,A23&gt;Assumptions!$C$12),0,D23*(1-Assumptions!$C$19)/Assumptions!$C$12+IF(A23=1+Assumptions!$C$8,Assumptions!$C$7*(1-Assumptions!$C$19)/Assumptions!$C$12*Assumptions!$C$8,0))+Y23</f>
        <v/>
      </c>
      <c r="U23" s="14">
        <f>IF(A23&gt;Assumptions!$C$12,V22*Assumptions!$C$23,0)</f>
        <v/>
      </c>
      <c r="V23" s="14">
        <f>V22*(1-IF(A23&gt;Assumptions!$C$12,Assumptions!$C$23,0))+T23</f>
        <v/>
      </c>
      <c r="W23" s="14">
        <f>IF(OR(A23=0,A23&gt;Assumptions!$C$13),0,Assumptions!$C$18/4)</f>
        <v/>
      </c>
      <c r="X23" s="15">
        <f>IF(A23=0,0,IF(A23&gt;Assumptions!$C$12,Assumptions!$C$30,1))</f>
        <v/>
      </c>
      <c r="Y23" s="14">
        <f>IF(AND(A23&gt;=9,A23&lt;=Assumptions!$C$12),Assumptions!$C$20*Assumptions!$C$10*Assumptions!$C$9*Assumptions!$C$12/4/(Assumptions!$C$12-8),0)</f>
        <v/>
      </c>
      <c r="Z23" s="14">
        <f>IF(Assumptions!$C$22=1,0,Assumptions!$C$21*(T23-Y23+F23+G23+W23))</f>
        <v/>
      </c>
    </row>
    <row r="24">
      <c r="A24" t="n">
        <v>19</v>
      </c>
      <c r="B24">
        <f>IF(A24=0,0,ROUNDUP(A24/4,0))</f>
        <v/>
      </c>
      <c r="C24">
        <f>IF(A24=0,"Pre-close","Y"&amp;B24&amp;" Q"&amp;(A24-(B24-1)*4))</f>
        <v/>
      </c>
      <c r="D24" s="14">
        <f>IF(A24=0,0,Assumptions!$C$6+IF(A24&gt;=1+Assumptions!$C$8,Assumptions!$C$7,0))</f>
        <v/>
      </c>
      <c r="E24" s="14">
        <f>IF(A24&lt;=Assumptions!$C$12,D24,V23)</f>
        <v/>
      </c>
      <c r="F24" s="14">
        <f>IF(OR(A24=0,A24&gt;Assumptions!$C$13),0,IF(A24&lt;=Assumptions!$C$12,Assumptions!$C$10,Assumptions!$C$11)*E24/4)-IF(Assumptions!$C$22=1,Assumptions!$C$21*(T24-Y24),0)</f>
        <v/>
      </c>
      <c r="G24" s="14">
        <f>IF(A24=1+Assumptions!$C$8,Assumptions!$C$7*Assumptions!$C$10*(Assumptions!$C$8/4)*(1+Assumptions!$C$14*(Assumptions!$C$8/4)/2),0)</f>
        <v/>
      </c>
      <c r="H24" s="14">
        <f>IF(A24=1,MIN(Assumptions!$C$15,Assumptions!$C$17*Assumptions!$C$6),IF(A24=1+Assumptions!$C$8,MIN(Assumptions!$C$15,Assumptions!$C$17*Assumptions!$C$9)-MIN(Assumptions!$C$15,Assumptions!$C$17*Assumptions!$C$6),0))</f>
        <v/>
      </c>
      <c r="I24" s="14">
        <f>F24+G24+H24</f>
        <v/>
      </c>
      <c r="J24" s="14">
        <f>Assumptions!$C$24/4*X24</f>
        <v/>
      </c>
      <c r="K24" s="14">
        <f>Assumptions!$C$25/4*X24</f>
        <v/>
      </c>
      <c r="L24" s="14">
        <f>Assumptions!$C$26/4*X24</f>
        <v/>
      </c>
      <c r="M24" s="14">
        <f>Assumptions!$C$27/4*X24</f>
        <v/>
      </c>
      <c r="N24" s="14">
        <f>Assumptions!$C$28/4*X24</f>
        <v/>
      </c>
      <c r="O24" s="14">
        <f>IF(A24=0,Assumptions!$C$16+Assumptions!$C$31+Assumptions!$C$32,IF(A24=1,Assumptions!$C$15-Assumptions!$C$16,0))</f>
        <v/>
      </c>
      <c r="P24" s="14">
        <f>Assumptions!$C$29/4*X24</f>
        <v/>
      </c>
      <c r="Q24" s="14">
        <f>SUM(J24:P24)+Z24</f>
        <v/>
      </c>
      <c r="R24" s="14">
        <f>I24-Q24</f>
        <v/>
      </c>
      <c r="S24" s="14">
        <f>S23+R24</f>
        <v/>
      </c>
      <c r="T24" s="14">
        <f>IF(OR(A24=0,A24&gt;Assumptions!$C$12),0,D24*(1-Assumptions!$C$19)/Assumptions!$C$12+IF(A24=1+Assumptions!$C$8,Assumptions!$C$7*(1-Assumptions!$C$19)/Assumptions!$C$12*Assumptions!$C$8,0))+Y24</f>
        <v/>
      </c>
      <c r="U24" s="14">
        <f>IF(A24&gt;Assumptions!$C$12,V23*Assumptions!$C$23,0)</f>
        <v/>
      </c>
      <c r="V24" s="14">
        <f>V23*(1-IF(A24&gt;Assumptions!$C$12,Assumptions!$C$23,0))+T24</f>
        <v/>
      </c>
      <c r="W24" s="14">
        <f>IF(OR(A24=0,A24&gt;Assumptions!$C$13),0,Assumptions!$C$18/4)</f>
        <v/>
      </c>
      <c r="X24" s="15">
        <f>IF(A24=0,0,IF(A24&gt;Assumptions!$C$12,Assumptions!$C$30,1))</f>
        <v/>
      </c>
      <c r="Y24" s="14">
        <f>IF(AND(A24&gt;=9,A24&lt;=Assumptions!$C$12),Assumptions!$C$20*Assumptions!$C$10*Assumptions!$C$9*Assumptions!$C$12/4/(Assumptions!$C$12-8),0)</f>
        <v/>
      </c>
      <c r="Z24" s="14">
        <f>IF(Assumptions!$C$22=1,0,Assumptions!$C$21*(T24-Y24+F24+G24+W24))</f>
        <v/>
      </c>
    </row>
    <row r="25">
      <c r="A25" t="n">
        <v>20</v>
      </c>
      <c r="B25">
        <f>IF(A25=0,0,ROUNDUP(A25/4,0))</f>
        <v/>
      </c>
      <c r="C25">
        <f>IF(A25=0,"Pre-close","Y"&amp;B25&amp;" Q"&amp;(A25-(B25-1)*4))</f>
        <v/>
      </c>
      <c r="D25" s="14">
        <f>IF(A25=0,0,Assumptions!$C$6+IF(A25&gt;=1+Assumptions!$C$8,Assumptions!$C$7,0))</f>
        <v/>
      </c>
      <c r="E25" s="14">
        <f>IF(A25&lt;=Assumptions!$C$12,D25,V24)</f>
        <v/>
      </c>
      <c r="F25" s="14">
        <f>IF(OR(A25=0,A25&gt;Assumptions!$C$13),0,IF(A25&lt;=Assumptions!$C$12,Assumptions!$C$10,Assumptions!$C$11)*E25/4)-IF(Assumptions!$C$22=1,Assumptions!$C$21*(T25-Y25),0)</f>
        <v/>
      </c>
      <c r="G25" s="14">
        <f>IF(A25=1+Assumptions!$C$8,Assumptions!$C$7*Assumptions!$C$10*(Assumptions!$C$8/4)*(1+Assumptions!$C$14*(Assumptions!$C$8/4)/2),0)</f>
        <v/>
      </c>
      <c r="H25" s="14">
        <f>IF(A25=1,MIN(Assumptions!$C$15,Assumptions!$C$17*Assumptions!$C$6),IF(A25=1+Assumptions!$C$8,MIN(Assumptions!$C$15,Assumptions!$C$17*Assumptions!$C$9)-MIN(Assumptions!$C$15,Assumptions!$C$17*Assumptions!$C$6),0))</f>
        <v/>
      </c>
      <c r="I25" s="14">
        <f>F25+G25+H25</f>
        <v/>
      </c>
      <c r="J25" s="14">
        <f>Assumptions!$C$24/4*X25</f>
        <v/>
      </c>
      <c r="K25" s="14">
        <f>Assumptions!$C$25/4*X25</f>
        <v/>
      </c>
      <c r="L25" s="14">
        <f>Assumptions!$C$26/4*X25</f>
        <v/>
      </c>
      <c r="M25" s="14">
        <f>Assumptions!$C$27/4*X25</f>
        <v/>
      </c>
      <c r="N25" s="14">
        <f>Assumptions!$C$28/4*X25</f>
        <v/>
      </c>
      <c r="O25" s="14">
        <f>IF(A25=0,Assumptions!$C$16+Assumptions!$C$31+Assumptions!$C$32,IF(A25=1,Assumptions!$C$15-Assumptions!$C$16,0))</f>
        <v/>
      </c>
      <c r="P25" s="14">
        <f>Assumptions!$C$29/4*X25</f>
        <v/>
      </c>
      <c r="Q25" s="14">
        <f>SUM(J25:P25)+Z25</f>
        <v/>
      </c>
      <c r="R25" s="14">
        <f>I25-Q25</f>
        <v/>
      </c>
      <c r="S25" s="14">
        <f>S24+R25</f>
        <v/>
      </c>
      <c r="T25" s="14">
        <f>IF(OR(A25=0,A25&gt;Assumptions!$C$12),0,D25*(1-Assumptions!$C$19)/Assumptions!$C$12+IF(A25=1+Assumptions!$C$8,Assumptions!$C$7*(1-Assumptions!$C$19)/Assumptions!$C$12*Assumptions!$C$8,0))+Y25</f>
        <v/>
      </c>
      <c r="U25" s="14">
        <f>IF(A25&gt;Assumptions!$C$12,V24*Assumptions!$C$23,0)</f>
        <v/>
      </c>
      <c r="V25" s="14">
        <f>V24*(1-IF(A25&gt;Assumptions!$C$12,Assumptions!$C$23,0))+T25</f>
        <v/>
      </c>
      <c r="W25" s="14">
        <f>IF(OR(A25=0,A25&gt;Assumptions!$C$13),0,Assumptions!$C$18/4)</f>
        <v/>
      </c>
      <c r="X25" s="15">
        <f>IF(A25=0,0,IF(A25&gt;Assumptions!$C$12,Assumptions!$C$30,1))</f>
        <v/>
      </c>
      <c r="Y25" s="14">
        <f>IF(AND(A25&gt;=9,A25&lt;=Assumptions!$C$12),Assumptions!$C$20*Assumptions!$C$10*Assumptions!$C$9*Assumptions!$C$12/4/(Assumptions!$C$12-8),0)</f>
        <v/>
      </c>
      <c r="Z25" s="14">
        <f>IF(Assumptions!$C$22=1,0,Assumptions!$C$21*(T25-Y25+F25+G25+W25))</f>
        <v/>
      </c>
    </row>
    <row r="26">
      <c r="A26" t="n">
        <v>21</v>
      </c>
      <c r="B26">
        <f>IF(A26=0,0,ROUNDUP(A26/4,0))</f>
        <v/>
      </c>
      <c r="C26">
        <f>IF(A26=0,"Pre-close","Y"&amp;B26&amp;" Q"&amp;(A26-(B26-1)*4))</f>
        <v/>
      </c>
      <c r="D26" s="14">
        <f>IF(A26=0,0,Assumptions!$C$6+IF(A26&gt;=1+Assumptions!$C$8,Assumptions!$C$7,0))</f>
        <v/>
      </c>
      <c r="E26" s="14">
        <f>IF(A26&lt;=Assumptions!$C$12,D26,V25)</f>
        <v/>
      </c>
      <c r="F26" s="14">
        <f>IF(OR(A26=0,A26&gt;Assumptions!$C$13),0,IF(A26&lt;=Assumptions!$C$12,Assumptions!$C$10,Assumptions!$C$11)*E26/4)-IF(Assumptions!$C$22=1,Assumptions!$C$21*(T26-Y26),0)</f>
        <v/>
      </c>
      <c r="G26" s="14">
        <f>IF(A26=1+Assumptions!$C$8,Assumptions!$C$7*Assumptions!$C$10*(Assumptions!$C$8/4)*(1+Assumptions!$C$14*(Assumptions!$C$8/4)/2),0)</f>
        <v/>
      </c>
      <c r="H26" s="14">
        <f>IF(A26=1,MIN(Assumptions!$C$15,Assumptions!$C$17*Assumptions!$C$6),IF(A26=1+Assumptions!$C$8,MIN(Assumptions!$C$15,Assumptions!$C$17*Assumptions!$C$9)-MIN(Assumptions!$C$15,Assumptions!$C$17*Assumptions!$C$6),0))</f>
        <v/>
      </c>
      <c r="I26" s="14">
        <f>F26+G26+H26</f>
        <v/>
      </c>
      <c r="J26" s="14">
        <f>Assumptions!$C$24/4*X26</f>
        <v/>
      </c>
      <c r="K26" s="14">
        <f>Assumptions!$C$25/4*X26</f>
        <v/>
      </c>
      <c r="L26" s="14">
        <f>Assumptions!$C$26/4*X26</f>
        <v/>
      </c>
      <c r="M26" s="14">
        <f>Assumptions!$C$27/4*X26</f>
        <v/>
      </c>
      <c r="N26" s="14">
        <f>Assumptions!$C$28/4*X26</f>
        <v/>
      </c>
      <c r="O26" s="14">
        <f>IF(A26=0,Assumptions!$C$16+Assumptions!$C$31+Assumptions!$C$32,IF(A26=1,Assumptions!$C$15-Assumptions!$C$16,0))</f>
        <v/>
      </c>
      <c r="P26" s="14">
        <f>Assumptions!$C$29/4*X26</f>
        <v/>
      </c>
      <c r="Q26" s="14">
        <f>SUM(J26:P26)+Z26</f>
        <v/>
      </c>
      <c r="R26" s="14">
        <f>I26-Q26</f>
        <v/>
      </c>
      <c r="S26" s="14">
        <f>S25+R26</f>
        <v/>
      </c>
      <c r="T26" s="14">
        <f>IF(OR(A26=0,A26&gt;Assumptions!$C$12),0,D26*(1-Assumptions!$C$19)/Assumptions!$C$12+IF(A26=1+Assumptions!$C$8,Assumptions!$C$7*(1-Assumptions!$C$19)/Assumptions!$C$12*Assumptions!$C$8,0))+Y26</f>
        <v/>
      </c>
      <c r="U26" s="14">
        <f>IF(A26&gt;Assumptions!$C$12,V25*Assumptions!$C$23,0)</f>
        <v/>
      </c>
      <c r="V26" s="14">
        <f>V25*(1-IF(A26&gt;Assumptions!$C$12,Assumptions!$C$23,0))+T26</f>
        <v/>
      </c>
      <c r="W26" s="14">
        <f>IF(OR(A26=0,A26&gt;Assumptions!$C$13),0,Assumptions!$C$18/4)</f>
        <v/>
      </c>
      <c r="X26" s="15">
        <f>IF(A26=0,0,IF(A26&gt;Assumptions!$C$12,Assumptions!$C$30,1))</f>
        <v/>
      </c>
      <c r="Y26" s="14">
        <f>IF(AND(A26&gt;=9,A26&lt;=Assumptions!$C$12),Assumptions!$C$20*Assumptions!$C$10*Assumptions!$C$9*Assumptions!$C$12/4/(Assumptions!$C$12-8),0)</f>
        <v/>
      </c>
      <c r="Z26" s="14">
        <f>IF(Assumptions!$C$22=1,0,Assumptions!$C$21*(T26-Y26+F26+G26+W26))</f>
        <v/>
      </c>
    </row>
    <row r="27">
      <c r="A27" t="n">
        <v>22</v>
      </c>
      <c r="B27">
        <f>IF(A27=0,0,ROUNDUP(A27/4,0))</f>
        <v/>
      </c>
      <c r="C27">
        <f>IF(A27=0,"Pre-close","Y"&amp;B27&amp;" Q"&amp;(A27-(B27-1)*4))</f>
        <v/>
      </c>
      <c r="D27" s="14">
        <f>IF(A27=0,0,Assumptions!$C$6+IF(A27&gt;=1+Assumptions!$C$8,Assumptions!$C$7,0))</f>
        <v/>
      </c>
      <c r="E27" s="14">
        <f>IF(A27&lt;=Assumptions!$C$12,D27,V26)</f>
        <v/>
      </c>
      <c r="F27" s="14">
        <f>IF(OR(A27=0,A27&gt;Assumptions!$C$13),0,IF(A27&lt;=Assumptions!$C$12,Assumptions!$C$10,Assumptions!$C$11)*E27/4)-IF(Assumptions!$C$22=1,Assumptions!$C$21*(T27-Y27),0)</f>
        <v/>
      </c>
      <c r="G27" s="14">
        <f>IF(A27=1+Assumptions!$C$8,Assumptions!$C$7*Assumptions!$C$10*(Assumptions!$C$8/4)*(1+Assumptions!$C$14*(Assumptions!$C$8/4)/2),0)</f>
        <v/>
      </c>
      <c r="H27" s="14">
        <f>IF(A27=1,MIN(Assumptions!$C$15,Assumptions!$C$17*Assumptions!$C$6),IF(A27=1+Assumptions!$C$8,MIN(Assumptions!$C$15,Assumptions!$C$17*Assumptions!$C$9)-MIN(Assumptions!$C$15,Assumptions!$C$17*Assumptions!$C$6),0))</f>
        <v/>
      </c>
      <c r="I27" s="14">
        <f>F27+G27+H27</f>
        <v/>
      </c>
      <c r="J27" s="14">
        <f>Assumptions!$C$24/4*X27</f>
        <v/>
      </c>
      <c r="K27" s="14">
        <f>Assumptions!$C$25/4*X27</f>
        <v/>
      </c>
      <c r="L27" s="14">
        <f>Assumptions!$C$26/4*X27</f>
        <v/>
      </c>
      <c r="M27" s="14">
        <f>Assumptions!$C$27/4*X27</f>
        <v/>
      </c>
      <c r="N27" s="14">
        <f>Assumptions!$C$28/4*X27</f>
        <v/>
      </c>
      <c r="O27" s="14">
        <f>IF(A27=0,Assumptions!$C$16+Assumptions!$C$31+Assumptions!$C$32,IF(A27=1,Assumptions!$C$15-Assumptions!$C$16,0))</f>
        <v/>
      </c>
      <c r="P27" s="14">
        <f>Assumptions!$C$29/4*X27</f>
        <v/>
      </c>
      <c r="Q27" s="14">
        <f>SUM(J27:P27)+Z27</f>
        <v/>
      </c>
      <c r="R27" s="14">
        <f>I27-Q27</f>
        <v/>
      </c>
      <c r="S27" s="14">
        <f>S26+R27</f>
        <v/>
      </c>
      <c r="T27" s="14">
        <f>IF(OR(A27=0,A27&gt;Assumptions!$C$12),0,D27*(1-Assumptions!$C$19)/Assumptions!$C$12+IF(A27=1+Assumptions!$C$8,Assumptions!$C$7*(1-Assumptions!$C$19)/Assumptions!$C$12*Assumptions!$C$8,0))+Y27</f>
        <v/>
      </c>
      <c r="U27" s="14">
        <f>IF(A27&gt;Assumptions!$C$12,V26*Assumptions!$C$23,0)</f>
        <v/>
      </c>
      <c r="V27" s="14">
        <f>V26*(1-IF(A27&gt;Assumptions!$C$12,Assumptions!$C$23,0))+T27</f>
        <v/>
      </c>
      <c r="W27" s="14">
        <f>IF(OR(A27=0,A27&gt;Assumptions!$C$13),0,Assumptions!$C$18/4)</f>
        <v/>
      </c>
      <c r="X27" s="15">
        <f>IF(A27=0,0,IF(A27&gt;Assumptions!$C$12,Assumptions!$C$30,1))</f>
        <v/>
      </c>
      <c r="Y27" s="14">
        <f>IF(AND(A27&gt;=9,A27&lt;=Assumptions!$C$12),Assumptions!$C$20*Assumptions!$C$10*Assumptions!$C$9*Assumptions!$C$12/4/(Assumptions!$C$12-8),0)</f>
        <v/>
      </c>
      <c r="Z27" s="14">
        <f>IF(Assumptions!$C$22=1,0,Assumptions!$C$21*(T27-Y27+F27+G27+W27))</f>
        <v/>
      </c>
    </row>
    <row r="28">
      <c r="A28" t="n">
        <v>23</v>
      </c>
      <c r="B28">
        <f>IF(A28=0,0,ROUNDUP(A28/4,0))</f>
        <v/>
      </c>
      <c r="C28">
        <f>IF(A28=0,"Pre-close","Y"&amp;B28&amp;" Q"&amp;(A28-(B28-1)*4))</f>
        <v/>
      </c>
      <c r="D28" s="14">
        <f>IF(A28=0,0,Assumptions!$C$6+IF(A28&gt;=1+Assumptions!$C$8,Assumptions!$C$7,0))</f>
        <v/>
      </c>
      <c r="E28" s="14">
        <f>IF(A28&lt;=Assumptions!$C$12,D28,V27)</f>
        <v/>
      </c>
      <c r="F28" s="14">
        <f>IF(OR(A28=0,A28&gt;Assumptions!$C$13),0,IF(A28&lt;=Assumptions!$C$12,Assumptions!$C$10,Assumptions!$C$11)*E28/4)-IF(Assumptions!$C$22=1,Assumptions!$C$21*(T28-Y28),0)</f>
        <v/>
      </c>
      <c r="G28" s="14">
        <f>IF(A28=1+Assumptions!$C$8,Assumptions!$C$7*Assumptions!$C$10*(Assumptions!$C$8/4)*(1+Assumptions!$C$14*(Assumptions!$C$8/4)/2),0)</f>
        <v/>
      </c>
      <c r="H28" s="14">
        <f>IF(A28=1,MIN(Assumptions!$C$15,Assumptions!$C$17*Assumptions!$C$6),IF(A28=1+Assumptions!$C$8,MIN(Assumptions!$C$15,Assumptions!$C$17*Assumptions!$C$9)-MIN(Assumptions!$C$15,Assumptions!$C$17*Assumptions!$C$6),0))</f>
        <v/>
      </c>
      <c r="I28" s="14">
        <f>F28+G28+H28</f>
        <v/>
      </c>
      <c r="J28" s="14">
        <f>Assumptions!$C$24/4*X28</f>
        <v/>
      </c>
      <c r="K28" s="14">
        <f>Assumptions!$C$25/4*X28</f>
        <v/>
      </c>
      <c r="L28" s="14">
        <f>Assumptions!$C$26/4*X28</f>
        <v/>
      </c>
      <c r="M28" s="14">
        <f>Assumptions!$C$27/4*X28</f>
        <v/>
      </c>
      <c r="N28" s="14">
        <f>Assumptions!$C$28/4*X28</f>
        <v/>
      </c>
      <c r="O28" s="14">
        <f>IF(A28=0,Assumptions!$C$16+Assumptions!$C$31+Assumptions!$C$32,IF(A28=1,Assumptions!$C$15-Assumptions!$C$16,0))</f>
        <v/>
      </c>
      <c r="P28" s="14">
        <f>Assumptions!$C$29/4*X28</f>
        <v/>
      </c>
      <c r="Q28" s="14">
        <f>SUM(J28:P28)+Z28</f>
        <v/>
      </c>
      <c r="R28" s="14">
        <f>I28-Q28</f>
        <v/>
      </c>
      <c r="S28" s="14">
        <f>S27+R28</f>
        <v/>
      </c>
      <c r="T28" s="14">
        <f>IF(OR(A28=0,A28&gt;Assumptions!$C$12),0,D28*(1-Assumptions!$C$19)/Assumptions!$C$12+IF(A28=1+Assumptions!$C$8,Assumptions!$C$7*(1-Assumptions!$C$19)/Assumptions!$C$12*Assumptions!$C$8,0))+Y28</f>
        <v/>
      </c>
      <c r="U28" s="14">
        <f>IF(A28&gt;Assumptions!$C$12,V27*Assumptions!$C$23,0)</f>
        <v/>
      </c>
      <c r="V28" s="14">
        <f>V27*(1-IF(A28&gt;Assumptions!$C$12,Assumptions!$C$23,0))+T28</f>
        <v/>
      </c>
      <c r="W28" s="14">
        <f>IF(OR(A28=0,A28&gt;Assumptions!$C$13),0,Assumptions!$C$18/4)</f>
        <v/>
      </c>
      <c r="X28" s="15">
        <f>IF(A28=0,0,IF(A28&gt;Assumptions!$C$12,Assumptions!$C$30,1))</f>
        <v/>
      </c>
      <c r="Y28" s="14">
        <f>IF(AND(A28&gt;=9,A28&lt;=Assumptions!$C$12),Assumptions!$C$20*Assumptions!$C$10*Assumptions!$C$9*Assumptions!$C$12/4/(Assumptions!$C$12-8),0)</f>
        <v/>
      </c>
      <c r="Z28" s="14">
        <f>IF(Assumptions!$C$22=1,0,Assumptions!$C$21*(T28-Y28+F28+G28+W28))</f>
        <v/>
      </c>
    </row>
    <row r="29">
      <c r="A29" t="n">
        <v>24</v>
      </c>
      <c r="B29">
        <f>IF(A29=0,0,ROUNDUP(A29/4,0))</f>
        <v/>
      </c>
      <c r="C29">
        <f>IF(A29=0,"Pre-close","Y"&amp;B29&amp;" Q"&amp;(A29-(B29-1)*4))</f>
        <v/>
      </c>
      <c r="D29" s="14">
        <f>IF(A29=0,0,Assumptions!$C$6+IF(A29&gt;=1+Assumptions!$C$8,Assumptions!$C$7,0))</f>
        <v/>
      </c>
      <c r="E29" s="14">
        <f>IF(A29&lt;=Assumptions!$C$12,D29,V28)</f>
        <v/>
      </c>
      <c r="F29" s="14">
        <f>IF(OR(A29=0,A29&gt;Assumptions!$C$13),0,IF(A29&lt;=Assumptions!$C$12,Assumptions!$C$10,Assumptions!$C$11)*E29/4)-IF(Assumptions!$C$22=1,Assumptions!$C$21*(T29-Y29),0)</f>
        <v/>
      </c>
      <c r="G29" s="14">
        <f>IF(A29=1+Assumptions!$C$8,Assumptions!$C$7*Assumptions!$C$10*(Assumptions!$C$8/4)*(1+Assumptions!$C$14*(Assumptions!$C$8/4)/2),0)</f>
        <v/>
      </c>
      <c r="H29" s="14">
        <f>IF(A29=1,MIN(Assumptions!$C$15,Assumptions!$C$17*Assumptions!$C$6),IF(A29=1+Assumptions!$C$8,MIN(Assumptions!$C$15,Assumptions!$C$17*Assumptions!$C$9)-MIN(Assumptions!$C$15,Assumptions!$C$17*Assumptions!$C$6),0))</f>
        <v/>
      </c>
      <c r="I29" s="14">
        <f>F29+G29+H29</f>
        <v/>
      </c>
      <c r="J29" s="14">
        <f>Assumptions!$C$24/4*X29</f>
        <v/>
      </c>
      <c r="K29" s="14">
        <f>Assumptions!$C$25/4*X29</f>
        <v/>
      </c>
      <c r="L29" s="14">
        <f>Assumptions!$C$26/4*X29</f>
        <v/>
      </c>
      <c r="M29" s="14">
        <f>Assumptions!$C$27/4*X29</f>
        <v/>
      </c>
      <c r="N29" s="14">
        <f>Assumptions!$C$28/4*X29</f>
        <v/>
      </c>
      <c r="O29" s="14">
        <f>IF(A29=0,Assumptions!$C$16+Assumptions!$C$31+Assumptions!$C$32,IF(A29=1,Assumptions!$C$15-Assumptions!$C$16,0))</f>
        <v/>
      </c>
      <c r="P29" s="14">
        <f>Assumptions!$C$29/4*X29</f>
        <v/>
      </c>
      <c r="Q29" s="14">
        <f>SUM(J29:P29)+Z29</f>
        <v/>
      </c>
      <c r="R29" s="14">
        <f>I29-Q29</f>
        <v/>
      </c>
      <c r="S29" s="14">
        <f>S28+R29</f>
        <v/>
      </c>
      <c r="T29" s="14">
        <f>IF(OR(A29=0,A29&gt;Assumptions!$C$12),0,D29*(1-Assumptions!$C$19)/Assumptions!$C$12+IF(A29=1+Assumptions!$C$8,Assumptions!$C$7*(1-Assumptions!$C$19)/Assumptions!$C$12*Assumptions!$C$8,0))+Y29</f>
        <v/>
      </c>
      <c r="U29" s="14">
        <f>IF(A29&gt;Assumptions!$C$12,V28*Assumptions!$C$23,0)</f>
        <v/>
      </c>
      <c r="V29" s="14">
        <f>V28*(1-IF(A29&gt;Assumptions!$C$12,Assumptions!$C$23,0))+T29</f>
        <v/>
      </c>
      <c r="W29" s="14">
        <f>IF(OR(A29=0,A29&gt;Assumptions!$C$13),0,Assumptions!$C$18/4)</f>
        <v/>
      </c>
      <c r="X29" s="15">
        <f>IF(A29=0,0,IF(A29&gt;Assumptions!$C$12,Assumptions!$C$30,1))</f>
        <v/>
      </c>
      <c r="Y29" s="14">
        <f>IF(AND(A29&gt;=9,A29&lt;=Assumptions!$C$12),Assumptions!$C$20*Assumptions!$C$10*Assumptions!$C$9*Assumptions!$C$12/4/(Assumptions!$C$12-8),0)</f>
        <v/>
      </c>
      <c r="Z29" s="14">
        <f>IF(Assumptions!$C$22=1,0,Assumptions!$C$21*(T29-Y29+F29+G29+W29))</f>
        <v/>
      </c>
    </row>
    <row r="30">
      <c r="A30" t="n">
        <v>25</v>
      </c>
      <c r="B30">
        <f>IF(A30=0,0,ROUNDUP(A30/4,0))</f>
        <v/>
      </c>
      <c r="C30">
        <f>IF(A30=0,"Pre-close","Y"&amp;B30&amp;" Q"&amp;(A30-(B30-1)*4))</f>
        <v/>
      </c>
      <c r="D30" s="14">
        <f>IF(A30=0,0,Assumptions!$C$6+IF(A30&gt;=1+Assumptions!$C$8,Assumptions!$C$7,0))</f>
        <v/>
      </c>
      <c r="E30" s="14">
        <f>IF(A30&lt;=Assumptions!$C$12,D30,V29)</f>
        <v/>
      </c>
      <c r="F30" s="14">
        <f>IF(OR(A30=0,A30&gt;Assumptions!$C$13),0,IF(A30&lt;=Assumptions!$C$12,Assumptions!$C$10,Assumptions!$C$11)*E30/4)-IF(Assumptions!$C$22=1,Assumptions!$C$21*(T30-Y30),0)</f>
        <v/>
      </c>
      <c r="G30" s="14">
        <f>IF(A30=1+Assumptions!$C$8,Assumptions!$C$7*Assumptions!$C$10*(Assumptions!$C$8/4)*(1+Assumptions!$C$14*(Assumptions!$C$8/4)/2),0)</f>
        <v/>
      </c>
      <c r="H30" s="14">
        <f>IF(A30=1,MIN(Assumptions!$C$15,Assumptions!$C$17*Assumptions!$C$6),IF(A30=1+Assumptions!$C$8,MIN(Assumptions!$C$15,Assumptions!$C$17*Assumptions!$C$9)-MIN(Assumptions!$C$15,Assumptions!$C$17*Assumptions!$C$6),0))</f>
        <v/>
      </c>
      <c r="I30" s="14">
        <f>F30+G30+H30</f>
        <v/>
      </c>
      <c r="J30" s="14">
        <f>Assumptions!$C$24/4*X30</f>
        <v/>
      </c>
      <c r="K30" s="14">
        <f>Assumptions!$C$25/4*X30</f>
        <v/>
      </c>
      <c r="L30" s="14">
        <f>Assumptions!$C$26/4*X30</f>
        <v/>
      </c>
      <c r="M30" s="14">
        <f>Assumptions!$C$27/4*X30</f>
        <v/>
      </c>
      <c r="N30" s="14">
        <f>Assumptions!$C$28/4*X30</f>
        <v/>
      </c>
      <c r="O30" s="14">
        <f>IF(A30=0,Assumptions!$C$16+Assumptions!$C$31+Assumptions!$C$32,IF(A30=1,Assumptions!$C$15-Assumptions!$C$16,0))</f>
        <v/>
      </c>
      <c r="P30" s="14">
        <f>Assumptions!$C$29/4*X30</f>
        <v/>
      </c>
      <c r="Q30" s="14">
        <f>SUM(J30:P30)+Z30</f>
        <v/>
      </c>
      <c r="R30" s="14">
        <f>I30-Q30</f>
        <v/>
      </c>
      <c r="S30" s="14">
        <f>S29+R30</f>
        <v/>
      </c>
      <c r="T30" s="14">
        <f>IF(OR(A30=0,A30&gt;Assumptions!$C$12),0,D30*(1-Assumptions!$C$19)/Assumptions!$C$12+IF(A30=1+Assumptions!$C$8,Assumptions!$C$7*(1-Assumptions!$C$19)/Assumptions!$C$12*Assumptions!$C$8,0))+Y30</f>
        <v/>
      </c>
      <c r="U30" s="14">
        <f>IF(A30&gt;Assumptions!$C$12,V29*Assumptions!$C$23,0)</f>
        <v/>
      </c>
      <c r="V30" s="14">
        <f>V29*(1-IF(A30&gt;Assumptions!$C$12,Assumptions!$C$23,0))+T30</f>
        <v/>
      </c>
      <c r="W30" s="14">
        <f>IF(OR(A30=0,A30&gt;Assumptions!$C$13),0,Assumptions!$C$18/4)</f>
        <v/>
      </c>
      <c r="X30" s="15">
        <f>IF(A30=0,0,IF(A30&gt;Assumptions!$C$12,Assumptions!$C$30,1))</f>
        <v/>
      </c>
      <c r="Y30" s="14">
        <f>IF(AND(A30&gt;=9,A30&lt;=Assumptions!$C$12),Assumptions!$C$20*Assumptions!$C$10*Assumptions!$C$9*Assumptions!$C$12/4/(Assumptions!$C$12-8),0)</f>
        <v/>
      </c>
      <c r="Z30" s="14">
        <f>IF(Assumptions!$C$22=1,0,Assumptions!$C$21*(T30-Y30+F30+G30+W30))</f>
        <v/>
      </c>
    </row>
    <row r="31">
      <c r="A31" t="n">
        <v>26</v>
      </c>
      <c r="B31">
        <f>IF(A31=0,0,ROUNDUP(A31/4,0))</f>
        <v/>
      </c>
      <c r="C31">
        <f>IF(A31=0,"Pre-close","Y"&amp;B31&amp;" Q"&amp;(A31-(B31-1)*4))</f>
        <v/>
      </c>
      <c r="D31" s="14">
        <f>IF(A31=0,0,Assumptions!$C$6+IF(A31&gt;=1+Assumptions!$C$8,Assumptions!$C$7,0))</f>
        <v/>
      </c>
      <c r="E31" s="14">
        <f>IF(A31&lt;=Assumptions!$C$12,D31,V30)</f>
        <v/>
      </c>
      <c r="F31" s="14">
        <f>IF(OR(A31=0,A31&gt;Assumptions!$C$13),0,IF(A31&lt;=Assumptions!$C$12,Assumptions!$C$10,Assumptions!$C$11)*E31/4)-IF(Assumptions!$C$22=1,Assumptions!$C$21*(T31-Y31),0)</f>
        <v/>
      </c>
      <c r="G31" s="14">
        <f>IF(A31=1+Assumptions!$C$8,Assumptions!$C$7*Assumptions!$C$10*(Assumptions!$C$8/4)*(1+Assumptions!$C$14*(Assumptions!$C$8/4)/2),0)</f>
        <v/>
      </c>
      <c r="H31" s="14">
        <f>IF(A31=1,MIN(Assumptions!$C$15,Assumptions!$C$17*Assumptions!$C$6),IF(A31=1+Assumptions!$C$8,MIN(Assumptions!$C$15,Assumptions!$C$17*Assumptions!$C$9)-MIN(Assumptions!$C$15,Assumptions!$C$17*Assumptions!$C$6),0))</f>
        <v/>
      </c>
      <c r="I31" s="14">
        <f>F31+G31+H31</f>
        <v/>
      </c>
      <c r="J31" s="14">
        <f>Assumptions!$C$24/4*X31</f>
        <v/>
      </c>
      <c r="K31" s="14">
        <f>Assumptions!$C$25/4*X31</f>
        <v/>
      </c>
      <c r="L31" s="14">
        <f>Assumptions!$C$26/4*X31</f>
        <v/>
      </c>
      <c r="M31" s="14">
        <f>Assumptions!$C$27/4*X31</f>
        <v/>
      </c>
      <c r="N31" s="14">
        <f>Assumptions!$C$28/4*X31</f>
        <v/>
      </c>
      <c r="O31" s="14">
        <f>IF(A31=0,Assumptions!$C$16+Assumptions!$C$31+Assumptions!$C$32,IF(A31=1,Assumptions!$C$15-Assumptions!$C$16,0))</f>
        <v/>
      </c>
      <c r="P31" s="14">
        <f>Assumptions!$C$29/4*X31</f>
        <v/>
      </c>
      <c r="Q31" s="14">
        <f>SUM(J31:P31)+Z31</f>
        <v/>
      </c>
      <c r="R31" s="14">
        <f>I31-Q31</f>
        <v/>
      </c>
      <c r="S31" s="14">
        <f>S30+R31</f>
        <v/>
      </c>
      <c r="T31" s="14">
        <f>IF(OR(A31=0,A31&gt;Assumptions!$C$12),0,D31*(1-Assumptions!$C$19)/Assumptions!$C$12+IF(A31=1+Assumptions!$C$8,Assumptions!$C$7*(1-Assumptions!$C$19)/Assumptions!$C$12*Assumptions!$C$8,0))+Y31</f>
        <v/>
      </c>
      <c r="U31" s="14">
        <f>IF(A31&gt;Assumptions!$C$12,V30*Assumptions!$C$23,0)</f>
        <v/>
      </c>
      <c r="V31" s="14">
        <f>V30*(1-IF(A31&gt;Assumptions!$C$12,Assumptions!$C$23,0))+T31</f>
        <v/>
      </c>
      <c r="W31" s="14">
        <f>IF(OR(A31=0,A31&gt;Assumptions!$C$13),0,Assumptions!$C$18/4)</f>
        <v/>
      </c>
      <c r="X31" s="15">
        <f>IF(A31=0,0,IF(A31&gt;Assumptions!$C$12,Assumptions!$C$30,1))</f>
        <v/>
      </c>
      <c r="Y31" s="14">
        <f>IF(AND(A31&gt;=9,A31&lt;=Assumptions!$C$12),Assumptions!$C$20*Assumptions!$C$10*Assumptions!$C$9*Assumptions!$C$12/4/(Assumptions!$C$12-8),0)</f>
        <v/>
      </c>
      <c r="Z31" s="14">
        <f>IF(Assumptions!$C$22=1,0,Assumptions!$C$21*(T31-Y31+F31+G31+W31))</f>
        <v/>
      </c>
    </row>
    <row r="32">
      <c r="A32" t="n">
        <v>27</v>
      </c>
      <c r="B32">
        <f>IF(A32=0,0,ROUNDUP(A32/4,0))</f>
        <v/>
      </c>
      <c r="C32">
        <f>IF(A32=0,"Pre-close","Y"&amp;B32&amp;" Q"&amp;(A32-(B32-1)*4))</f>
        <v/>
      </c>
      <c r="D32" s="14">
        <f>IF(A32=0,0,Assumptions!$C$6+IF(A32&gt;=1+Assumptions!$C$8,Assumptions!$C$7,0))</f>
        <v/>
      </c>
      <c r="E32" s="14">
        <f>IF(A32&lt;=Assumptions!$C$12,D32,V31)</f>
        <v/>
      </c>
      <c r="F32" s="14">
        <f>IF(OR(A32=0,A32&gt;Assumptions!$C$13),0,IF(A32&lt;=Assumptions!$C$12,Assumptions!$C$10,Assumptions!$C$11)*E32/4)-IF(Assumptions!$C$22=1,Assumptions!$C$21*(T32-Y32),0)</f>
        <v/>
      </c>
      <c r="G32" s="14">
        <f>IF(A32=1+Assumptions!$C$8,Assumptions!$C$7*Assumptions!$C$10*(Assumptions!$C$8/4)*(1+Assumptions!$C$14*(Assumptions!$C$8/4)/2),0)</f>
        <v/>
      </c>
      <c r="H32" s="14">
        <f>IF(A32=1,MIN(Assumptions!$C$15,Assumptions!$C$17*Assumptions!$C$6),IF(A32=1+Assumptions!$C$8,MIN(Assumptions!$C$15,Assumptions!$C$17*Assumptions!$C$9)-MIN(Assumptions!$C$15,Assumptions!$C$17*Assumptions!$C$6),0))</f>
        <v/>
      </c>
      <c r="I32" s="14">
        <f>F32+G32+H32</f>
        <v/>
      </c>
      <c r="J32" s="14">
        <f>Assumptions!$C$24/4*X32</f>
        <v/>
      </c>
      <c r="K32" s="14">
        <f>Assumptions!$C$25/4*X32</f>
        <v/>
      </c>
      <c r="L32" s="14">
        <f>Assumptions!$C$26/4*X32</f>
        <v/>
      </c>
      <c r="M32" s="14">
        <f>Assumptions!$C$27/4*X32</f>
        <v/>
      </c>
      <c r="N32" s="14">
        <f>Assumptions!$C$28/4*X32</f>
        <v/>
      </c>
      <c r="O32" s="14">
        <f>IF(A32=0,Assumptions!$C$16+Assumptions!$C$31+Assumptions!$C$32,IF(A32=1,Assumptions!$C$15-Assumptions!$C$16,0))</f>
        <v/>
      </c>
      <c r="P32" s="14">
        <f>Assumptions!$C$29/4*X32</f>
        <v/>
      </c>
      <c r="Q32" s="14">
        <f>SUM(J32:P32)+Z32</f>
        <v/>
      </c>
      <c r="R32" s="14">
        <f>I32-Q32</f>
        <v/>
      </c>
      <c r="S32" s="14">
        <f>S31+R32</f>
        <v/>
      </c>
      <c r="T32" s="14">
        <f>IF(OR(A32=0,A32&gt;Assumptions!$C$12),0,D32*(1-Assumptions!$C$19)/Assumptions!$C$12+IF(A32=1+Assumptions!$C$8,Assumptions!$C$7*(1-Assumptions!$C$19)/Assumptions!$C$12*Assumptions!$C$8,0))+Y32</f>
        <v/>
      </c>
      <c r="U32" s="14">
        <f>IF(A32&gt;Assumptions!$C$12,V31*Assumptions!$C$23,0)</f>
        <v/>
      </c>
      <c r="V32" s="14">
        <f>V31*(1-IF(A32&gt;Assumptions!$C$12,Assumptions!$C$23,0))+T32</f>
        <v/>
      </c>
      <c r="W32" s="14">
        <f>IF(OR(A32=0,A32&gt;Assumptions!$C$13),0,Assumptions!$C$18/4)</f>
        <v/>
      </c>
      <c r="X32" s="15">
        <f>IF(A32=0,0,IF(A32&gt;Assumptions!$C$12,Assumptions!$C$30,1))</f>
        <v/>
      </c>
      <c r="Y32" s="14">
        <f>IF(AND(A32&gt;=9,A32&lt;=Assumptions!$C$12),Assumptions!$C$20*Assumptions!$C$10*Assumptions!$C$9*Assumptions!$C$12/4/(Assumptions!$C$12-8),0)</f>
        <v/>
      </c>
      <c r="Z32" s="14">
        <f>IF(Assumptions!$C$22=1,0,Assumptions!$C$21*(T32-Y32+F32+G32+W32))</f>
        <v/>
      </c>
    </row>
    <row r="33">
      <c r="A33" t="n">
        <v>28</v>
      </c>
      <c r="B33">
        <f>IF(A33=0,0,ROUNDUP(A33/4,0))</f>
        <v/>
      </c>
      <c r="C33">
        <f>IF(A33=0,"Pre-close","Y"&amp;B33&amp;" Q"&amp;(A33-(B33-1)*4))</f>
        <v/>
      </c>
      <c r="D33" s="14">
        <f>IF(A33=0,0,Assumptions!$C$6+IF(A33&gt;=1+Assumptions!$C$8,Assumptions!$C$7,0))</f>
        <v/>
      </c>
      <c r="E33" s="14">
        <f>IF(A33&lt;=Assumptions!$C$12,D33,V32)</f>
        <v/>
      </c>
      <c r="F33" s="14">
        <f>IF(OR(A33=0,A33&gt;Assumptions!$C$13),0,IF(A33&lt;=Assumptions!$C$12,Assumptions!$C$10,Assumptions!$C$11)*E33/4)-IF(Assumptions!$C$22=1,Assumptions!$C$21*(T33-Y33),0)</f>
        <v/>
      </c>
      <c r="G33" s="14">
        <f>IF(A33=1+Assumptions!$C$8,Assumptions!$C$7*Assumptions!$C$10*(Assumptions!$C$8/4)*(1+Assumptions!$C$14*(Assumptions!$C$8/4)/2),0)</f>
        <v/>
      </c>
      <c r="H33" s="14">
        <f>IF(A33=1,MIN(Assumptions!$C$15,Assumptions!$C$17*Assumptions!$C$6),IF(A33=1+Assumptions!$C$8,MIN(Assumptions!$C$15,Assumptions!$C$17*Assumptions!$C$9)-MIN(Assumptions!$C$15,Assumptions!$C$17*Assumptions!$C$6),0))</f>
        <v/>
      </c>
      <c r="I33" s="14">
        <f>F33+G33+H33</f>
        <v/>
      </c>
      <c r="J33" s="14">
        <f>Assumptions!$C$24/4*X33</f>
        <v/>
      </c>
      <c r="K33" s="14">
        <f>Assumptions!$C$25/4*X33</f>
        <v/>
      </c>
      <c r="L33" s="14">
        <f>Assumptions!$C$26/4*X33</f>
        <v/>
      </c>
      <c r="M33" s="14">
        <f>Assumptions!$C$27/4*X33</f>
        <v/>
      </c>
      <c r="N33" s="14">
        <f>Assumptions!$C$28/4*X33</f>
        <v/>
      </c>
      <c r="O33" s="14">
        <f>IF(A33=0,Assumptions!$C$16+Assumptions!$C$31+Assumptions!$C$32,IF(A33=1,Assumptions!$C$15-Assumptions!$C$16,0))</f>
        <v/>
      </c>
      <c r="P33" s="14">
        <f>Assumptions!$C$29/4*X33</f>
        <v/>
      </c>
      <c r="Q33" s="14">
        <f>SUM(J33:P33)+Z33</f>
        <v/>
      </c>
      <c r="R33" s="14">
        <f>I33-Q33</f>
        <v/>
      </c>
      <c r="S33" s="14">
        <f>S32+R33</f>
        <v/>
      </c>
      <c r="T33" s="14">
        <f>IF(OR(A33=0,A33&gt;Assumptions!$C$12),0,D33*(1-Assumptions!$C$19)/Assumptions!$C$12+IF(A33=1+Assumptions!$C$8,Assumptions!$C$7*(1-Assumptions!$C$19)/Assumptions!$C$12*Assumptions!$C$8,0))+Y33</f>
        <v/>
      </c>
      <c r="U33" s="14">
        <f>IF(A33&gt;Assumptions!$C$12,V32*Assumptions!$C$23,0)</f>
        <v/>
      </c>
      <c r="V33" s="14">
        <f>V32*(1-IF(A33&gt;Assumptions!$C$12,Assumptions!$C$23,0))+T33</f>
        <v/>
      </c>
      <c r="W33" s="14">
        <f>IF(OR(A33=0,A33&gt;Assumptions!$C$13),0,Assumptions!$C$18/4)</f>
        <v/>
      </c>
      <c r="X33" s="15">
        <f>IF(A33=0,0,IF(A33&gt;Assumptions!$C$12,Assumptions!$C$30,1))</f>
        <v/>
      </c>
      <c r="Y33" s="14">
        <f>IF(AND(A33&gt;=9,A33&lt;=Assumptions!$C$12),Assumptions!$C$20*Assumptions!$C$10*Assumptions!$C$9*Assumptions!$C$12/4/(Assumptions!$C$12-8),0)</f>
        <v/>
      </c>
      <c r="Z33" s="14">
        <f>IF(Assumptions!$C$22=1,0,Assumptions!$C$21*(T33-Y33+F33+G33+W33))</f>
        <v/>
      </c>
    </row>
    <row r="34">
      <c r="A34" t="n">
        <v>29</v>
      </c>
      <c r="B34">
        <f>IF(A34=0,0,ROUNDUP(A34/4,0))</f>
        <v/>
      </c>
      <c r="C34">
        <f>IF(A34=0,"Pre-close","Y"&amp;B34&amp;" Q"&amp;(A34-(B34-1)*4))</f>
        <v/>
      </c>
      <c r="D34" s="14">
        <f>IF(A34=0,0,Assumptions!$C$6+IF(A34&gt;=1+Assumptions!$C$8,Assumptions!$C$7,0))</f>
        <v/>
      </c>
      <c r="E34" s="14">
        <f>IF(A34&lt;=Assumptions!$C$12,D34,V33)</f>
        <v/>
      </c>
      <c r="F34" s="14">
        <f>IF(OR(A34=0,A34&gt;Assumptions!$C$13),0,IF(A34&lt;=Assumptions!$C$12,Assumptions!$C$10,Assumptions!$C$11)*E34/4)-IF(Assumptions!$C$22=1,Assumptions!$C$21*(T34-Y34),0)</f>
        <v/>
      </c>
      <c r="G34" s="14">
        <f>IF(A34=1+Assumptions!$C$8,Assumptions!$C$7*Assumptions!$C$10*(Assumptions!$C$8/4)*(1+Assumptions!$C$14*(Assumptions!$C$8/4)/2),0)</f>
        <v/>
      </c>
      <c r="H34" s="14">
        <f>IF(A34=1,MIN(Assumptions!$C$15,Assumptions!$C$17*Assumptions!$C$6),IF(A34=1+Assumptions!$C$8,MIN(Assumptions!$C$15,Assumptions!$C$17*Assumptions!$C$9)-MIN(Assumptions!$C$15,Assumptions!$C$17*Assumptions!$C$6),0))</f>
        <v/>
      </c>
      <c r="I34" s="14">
        <f>F34+G34+H34</f>
        <v/>
      </c>
      <c r="J34" s="14">
        <f>Assumptions!$C$24/4*X34</f>
        <v/>
      </c>
      <c r="K34" s="14">
        <f>Assumptions!$C$25/4*X34</f>
        <v/>
      </c>
      <c r="L34" s="14">
        <f>Assumptions!$C$26/4*X34</f>
        <v/>
      </c>
      <c r="M34" s="14">
        <f>Assumptions!$C$27/4*X34</f>
        <v/>
      </c>
      <c r="N34" s="14">
        <f>Assumptions!$C$28/4*X34</f>
        <v/>
      </c>
      <c r="O34" s="14">
        <f>IF(A34=0,Assumptions!$C$16+Assumptions!$C$31+Assumptions!$C$32,IF(A34=1,Assumptions!$C$15-Assumptions!$C$16,0))</f>
        <v/>
      </c>
      <c r="P34" s="14">
        <f>Assumptions!$C$29/4*X34</f>
        <v/>
      </c>
      <c r="Q34" s="14">
        <f>SUM(J34:P34)+Z34</f>
        <v/>
      </c>
      <c r="R34" s="14">
        <f>I34-Q34</f>
        <v/>
      </c>
      <c r="S34" s="14">
        <f>S33+R34</f>
        <v/>
      </c>
      <c r="T34" s="14">
        <f>IF(OR(A34=0,A34&gt;Assumptions!$C$12),0,D34*(1-Assumptions!$C$19)/Assumptions!$C$12+IF(A34=1+Assumptions!$C$8,Assumptions!$C$7*(1-Assumptions!$C$19)/Assumptions!$C$12*Assumptions!$C$8,0))+Y34</f>
        <v/>
      </c>
      <c r="U34" s="14">
        <f>IF(A34&gt;Assumptions!$C$12,V33*Assumptions!$C$23,0)</f>
        <v/>
      </c>
      <c r="V34" s="14">
        <f>V33*(1-IF(A34&gt;Assumptions!$C$12,Assumptions!$C$23,0))+T34</f>
        <v/>
      </c>
      <c r="W34" s="14">
        <f>IF(OR(A34=0,A34&gt;Assumptions!$C$13),0,Assumptions!$C$18/4)</f>
        <v/>
      </c>
      <c r="X34" s="15">
        <f>IF(A34=0,0,IF(A34&gt;Assumptions!$C$12,Assumptions!$C$30,1))</f>
        <v/>
      </c>
      <c r="Y34" s="14">
        <f>IF(AND(A34&gt;=9,A34&lt;=Assumptions!$C$12),Assumptions!$C$20*Assumptions!$C$10*Assumptions!$C$9*Assumptions!$C$12/4/(Assumptions!$C$12-8),0)</f>
        <v/>
      </c>
      <c r="Z34" s="14">
        <f>IF(Assumptions!$C$22=1,0,Assumptions!$C$21*(T34-Y34+F34+G34+W34))</f>
        <v/>
      </c>
    </row>
    <row r="35">
      <c r="A35" t="n">
        <v>30</v>
      </c>
      <c r="B35">
        <f>IF(A35=0,0,ROUNDUP(A35/4,0))</f>
        <v/>
      </c>
      <c r="C35">
        <f>IF(A35=0,"Pre-close","Y"&amp;B35&amp;" Q"&amp;(A35-(B35-1)*4))</f>
        <v/>
      </c>
      <c r="D35" s="14">
        <f>IF(A35=0,0,Assumptions!$C$6+IF(A35&gt;=1+Assumptions!$C$8,Assumptions!$C$7,0))</f>
        <v/>
      </c>
      <c r="E35" s="14">
        <f>IF(A35&lt;=Assumptions!$C$12,D35,V34)</f>
        <v/>
      </c>
      <c r="F35" s="14">
        <f>IF(OR(A35=0,A35&gt;Assumptions!$C$13),0,IF(A35&lt;=Assumptions!$C$12,Assumptions!$C$10,Assumptions!$C$11)*E35/4)-IF(Assumptions!$C$22=1,Assumptions!$C$21*(T35-Y35),0)</f>
        <v/>
      </c>
      <c r="G35" s="14">
        <f>IF(A35=1+Assumptions!$C$8,Assumptions!$C$7*Assumptions!$C$10*(Assumptions!$C$8/4)*(1+Assumptions!$C$14*(Assumptions!$C$8/4)/2),0)</f>
        <v/>
      </c>
      <c r="H35" s="14">
        <f>IF(A35=1,MIN(Assumptions!$C$15,Assumptions!$C$17*Assumptions!$C$6),IF(A35=1+Assumptions!$C$8,MIN(Assumptions!$C$15,Assumptions!$C$17*Assumptions!$C$9)-MIN(Assumptions!$C$15,Assumptions!$C$17*Assumptions!$C$6),0))</f>
        <v/>
      </c>
      <c r="I35" s="14">
        <f>F35+G35+H35</f>
        <v/>
      </c>
      <c r="J35" s="14">
        <f>Assumptions!$C$24/4*X35</f>
        <v/>
      </c>
      <c r="K35" s="14">
        <f>Assumptions!$C$25/4*X35</f>
        <v/>
      </c>
      <c r="L35" s="14">
        <f>Assumptions!$C$26/4*X35</f>
        <v/>
      </c>
      <c r="M35" s="14">
        <f>Assumptions!$C$27/4*X35</f>
        <v/>
      </c>
      <c r="N35" s="14">
        <f>Assumptions!$C$28/4*X35</f>
        <v/>
      </c>
      <c r="O35" s="14">
        <f>IF(A35=0,Assumptions!$C$16+Assumptions!$C$31+Assumptions!$C$32,IF(A35=1,Assumptions!$C$15-Assumptions!$C$16,0))</f>
        <v/>
      </c>
      <c r="P35" s="14">
        <f>Assumptions!$C$29/4*X35</f>
        <v/>
      </c>
      <c r="Q35" s="14">
        <f>SUM(J35:P35)+Z35</f>
        <v/>
      </c>
      <c r="R35" s="14">
        <f>I35-Q35</f>
        <v/>
      </c>
      <c r="S35" s="14">
        <f>S34+R35</f>
        <v/>
      </c>
      <c r="T35" s="14">
        <f>IF(OR(A35=0,A35&gt;Assumptions!$C$12),0,D35*(1-Assumptions!$C$19)/Assumptions!$C$12+IF(A35=1+Assumptions!$C$8,Assumptions!$C$7*(1-Assumptions!$C$19)/Assumptions!$C$12*Assumptions!$C$8,0))+Y35</f>
        <v/>
      </c>
      <c r="U35" s="14">
        <f>IF(A35&gt;Assumptions!$C$12,V34*Assumptions!$C$23,0)</f>
        <v/>
      </c>
      <c r="V35" s="14">
        <f>V34*(1-IF(A35&gt;Assumptions!$C$12,Assumptions!$C$23,0))+T35</f>
        <v/>
      </c>
      <c r="W35" s="14">
        <f>IF(OR(A35=0,A35&gt;Assumptions!$C$13),0,Assumptions!$C$18/4)</f>
        <v/>
      </c>
      <c r="X35" s="15">
        <f>IF(A35=0,0,IF(A35&gt;Assumptions!$C$12,Assumptions!$C$30,1))</f>
        <v/>
      </c>
      <c r="Y35" s="14">
        <f>IF(AND(A35&gt;=9,A35&lt;=Assumptions!$C$12),Assumptions!$C$20*Assumptions!$C$10*Assumptions!$C$9*Assumptions!$C$12/4/(Assumptions!$C$12-8),0)</f>
        <v/>
      </c>
      <c r="Z35" s="14">
        <f>IF(Assumptions!$C$22=1,0,Assumptions!$C$21*(T35-Y35+F35+G35+W35))</f>
        <v/>
      </c>
    </row>
    <row r="36">
      <c r="A36" t="n">
        <v>31</v>
      </c>
      <c r="B36">
        <f>IF(A36=0,0,ROUNDUP(A36/4,0))</f>
        <v/>
      </c>
      <c r="C36">
        <f>IF(A36=0,"Pre-close","Y"&amp;B36&amp;" Q"&amp;(A36-(B36-1)*4))</f>
        <v/>
      </c>
      <c r="D36" s="14">
        <f>IF(A36=0,0,Assumptions!$C$6+IF(A36&gt;=1+Assumptions!$C$8,Assumptions!$C$7,0))</f>
        <v/>
      </c>
      <c r="E36" s="14">
        <f>IF(A36&lt;=Assumptions!$C$12,D36,V35)</f>
        <v/>
      </c>
      <c r="F36" s="14">
        <f>IF(OR(A36=0,A36&gt;Assumptions!$C$13),0,IF(A36&lt;=Assumptions!$C$12,Assumptions!$C$10,Assumptions!$C$11)*E36/4)-IF(Assumptions!$C$22=1,Assumptions!$C$21*(T36-Y36),0)</f>
        <v/>
      </c>
      <c r="G36" s="14">
        <f>IF(A36=1+Assumptions!$C$8,Assumptions!$C$7*Assumptions!$C$10*(Assumptions!$C$8/4)*(1+Assumptions!$C$14*(Assumptions!$C$8/4)/2),0)</f>
        <v/>
      </c>
      <c r="H36" s="14">
        <f>IF(A36=1,MIN(Assumptions!$C$15,Assumptions!$C$17*Assumptions!$C$6),IF(A36=1+Assumptions!$C$8,MIN(Assumptions!$C$15,Assumptions!$C$17*Assumptions!$C$9)-MIN(Assumptions!$C$15,Assumptions!$C$17*Assumptions!$C$6),0))</f>
        <v/>
      </c>
      <c r="I36" s="14">
        <f>F36+G36+H36</f>
        <v/>
      </c>
      <c r="J36" s="14">
        <f>Assumptions!$C$24/4*X36</f>
        <v/>
      </c>
      <c r="K36" s="14">
        <f>Assumptions!$C$25/4*X36</f>
        <v/>
      </c>
      <c r="L36" s="14">
        <f>Assumptions!$C$26/4*X36</f>
        <v/>
      </c>
      <c r="M36" s="14">
        <f>Assumptions!$C$27/4*X36</f>
        <v/>
      </c>
      <c r="N36" s="14">
        <f>Assumptions!$C$28/4*X36</f>
        <v/>
      </c>
      <c r="O36" s="14">
        <f>IF(A36=0,Assumptions!$C$16+Assumptions!$C$31+Assumptions!$C$32,IF(A36=1,Assumptions!$C$15-Assumptions!$C$16,0))</f>
        <v/>
      </c>
      <c r="P36" s="14">
        <f>Assumptions!$C$29/4*X36</f>
        <v/>
      </c>
      <c r="Q36" s="14">
        <f>SUM(J36:P36)+Z36</f>
        <v/>
      </c>
      <c r="R36" s="14">
        <f>I36-Q36</f>
        <v/>
      </c>
      <c r="S36" s="14">
        <f>S35+R36</f>
        <v/>
      </c>
      <c r="T36" s="14">
        <f>IF(OR(A36=0,A36&gt;Assumptions!$C$12),0,D36*(1-Assumptions!$C$19)/Assumptions!$C$12+IF(A36=1+Assumptions!$C$8,Assumptions!$C$7*(1-Assumptions!$C$19)/Assumptions!$C$12*Assumptions!$C$8,0))+Y36</f>
        <v/>
      </c>
      <c r="U36" s="14">
        <f>IF(A36&gt;Assumptions!$C$12,V35*Assumptions!$C$23,0)</f>
        <v/>
      </c>
      <c r="V36" s="14">
        <f>V35*(1-IF(A36&gt;Assumptions!$C$12,Assumptions!$C$23,0))+T36</f>
        <v/>
      </c>
      <c r="W36" s="14">
        <f>IF(OR(A36=0,A36&gt;Assumptions!$C$13),0,Assumptions!$C$18/4)</f>
        <v/>
      </c>
      <c r="X36" s="15">
        <f>IF(A36=0,0,IF(A36&gt;Assumptions!$C$12,Assumptions!$C$30,1))</f>
        <v/>
      </c>
      <c r="Y36" s="14">
        <f>IF(AND(A36&gt;=9,A36&lt;=Assumptions!$C$12),Assumptions!$C$20*Assumptions!$C$10*Assumptions!$C$9*Assumptions!$C$12/4/(Assumptions!$C$12-8),0)</f>
        <v/>
      </c>
      <c r="Z36" s="14">
        <f>IF(Assumptions!$C$22=1,0,Assumptions!$C$21*(T36-Y36+F36+G36+W36))</f>
        <v/>
      </c>
    </row>
    <row r="37">
      <c r="A37" t="n">
        <v>32</v>
      </c>
      <c r="B37">
        <f>IF(A37=0,0,ROUNDUP(A37/4,0))</f>
        <v/>
      </c>
      <c r="C37">
        <f>IF(A37=0,"Pre-close","Y"&amp;B37&amp;" Q"&amp;(A37-(B37-1)*4))</f>
        <v/>
      </c>
      <c r="D37" s="14">
        <f>IF(A37=0,0,Assumptions!$C$6+IF(A37&gt;=1+Assumptions!$C$8,Assumptions!$C$7,0))</f>
        <v/>
      </c>
      <c r="E37" s="14">
        <f>IF(A37&lt;=Assumptions!$C$12,D37,V36)</f>
        <v/>
      </c>
      <c r="F37" s="14">
        <f>IF(OR(A37=0,A37&gt;Assumptions!$C$13),0,IF(A37&lt;=Assumptions!$C$12,Assumptions!$C$10,Assumptions!$C$11)*E37/4)-IF(Assumptions!$C$22=1,Assumptions!$C$21*(T37-Y37),0)</f>
        <v/>
      </c>
      <c r="G37" s="14">
        <f>IF(A37=1+Assumptions!$C$8,Assumptions!$C$7*Assumptions!$C$10*(Assumptions!$C$8/4)*(1+Assumptions!$C$14*(Assumptions!$C$8/4)/2),0)</f>
        <v/>
      </c>
      <c r="H37" s="14">
        <f>IF(A37=1,MIN(Assumptions!$C$15,Assumptions!$C$17*Assumptions!$C$6),IF(A37=1+Assumptions!$C$8,MIN(Assumptions!$C$15,Assumptions!$C$17*Assumptions!$C$9)-MIN(Assumptions!$C$15,Assumptions!$C$17*Assumptions!$C$6),0))</f>
        <v/>
      </c>
      <c r="I37" s="14">
        <f>F37+G37+H37</f>
        <v/>
      </c>
      <c r="J37" s="14">
        <f>Assumptions!$C$24/4*X37</f>
        <v/>
      </c>
      <c r="K37" s="14">
        <f>Assumptions!$C$25/4*X37</f>
        <v/>
      </c>
      <c r="L37" s="14">
        <f>Assumptions!$C$26/4*X37</f>
        <v/>
      </c>
      <c r="M37" s="14">
        <f>Assumptions!$C$27/4*X37</f>
        <v/>
      </c>
      <c r="N37" s="14">
        <f>Assumptions!$C$28/4*X37</f>
        <v/>
      </c>
      <c r="O37" s="14">
        <f>IF(A37=0,Assumptions!$C$16+Assumptions!$C$31+Assumptions!$C$32,IF(A37=1,Assumptions!$C$15-Assumptions!$C$16,0))</f>
        <v/>
      </c>
      <c r="P37" s="14">
        <f>Assumptions!$C$29/4*X37</f>
        <v/>
      </c>
      <c r="Q37" s="14">
        <f>SUM(J37:P37)+Z37</f>
        <v/>
      </c>
      <c r="R37" s="14">
        <f>I37-Q37</f>
        <v/>
      </c>
      <c r="S37" s="14">
        <f>S36+R37</f>
        <v/>
      </c>
      <c r="T37" s="14">
        <f>IF(OR(A37=0,A37&gt;Assumptions!$C$12),0,D37*(1-Assumptions!$C$19)/Assumptions!$C$12+IF(A37=1+Assumptions!$C$8,Assumptions!$C$7*(1-Assumptions!$C$19)/Assumptions!$C$12*Assumptions!$C$8,0))+Y37</f>
        <v/>
      </c>
      <c r="U37" s="14">
        <f>IF(A37&gt;Assumptions!$C$12,V36*Assumptions!$C$23,0)</f>
        <v/>
      </c>
      <c r="V37" s="14">
        <f>V36*(1-IF(A37&gt;Assumptions!$C$12,Assumptions!$C$23,0))+T37</f>
        <v/>
      </c>
      <c r="W37" s="14">
        <f>IF(OR(A37=0,A37&gt;Assumptions!$C$13),0,Assumptions!$C$18/4)</f>
        <v/>
      </c>
      <c r="X37" s="15">
        <f>IF(A37=0,0,IF(A37&gt;Assumptions!$C$12,Assumptions!$C$30,1))</f>
        <v/>
      </c>
      <c r="Y37" s="14">
        <f>IF(AND(A37&gt;=9,A37&lt;=Assumptions!$C$12),Assumptions!$C$20*Assumptions!$C$10*Assumptions!$C$9*Assumptions!$C$12/4/(Assumptions!$C$12-8),0)</f>
        <v/>
      </c>
      <c r="Z37" s="14">
        <f>IF(Assumptions!$C$22=1,0,Assumptions!$C$21*(T37-Y37+F37+G37+W37))</f>
        <v/>
      </c>
    </row>
    <row r="38">
      <c r="A38" t="n">
        <v>33</v>
      </c>
      <c r="B38">
        <f>IF(A38=0,0,ROUNDUP(A38/4,0))</f>
        <v/>
      </c>
      <c r="C38">
        <f>IF(A38=0,"Pre-close","Y"&amp;B38&amp;" Q"&amp;(A38-(B38-1)*4))</f>
        <v/>
      </c>
      <c r="D38" s="14">
        <f>IF(A38=0,0,Assumptions!$C$6+IF(A38&gt;=1+Assumptions!$C$8,Assumptions!$C$7,0))</f>
        <v/>
      </c>
      <c r="E38" s="14">
        <f>IF(A38&lt;=Assumptions!$C$12,D38,V37)</f>
        <v/>
      </c>
      <c r="F38" s="14">
        <f>IF(OR(A38=0,A38&gt;Assumptions!$C$13),0,IF(A38&lt;=Assumptions!$C$12,Assumptions!$C$10,Assumptions!$C$11)*E38/4)-IF(Assumptions!$C$22=1,Assumptions!$C$21*(T38-Y38),0)</f>
        <v/>
      </c>
      <c r="G38" s="14">
        <f>IF(A38=1+Assumptions!$C$8,Assumptions!$C$7*Assumptions!$C$10*(Assumptions!$C$8/4)*(1+Assumptions!$C$14*(Assumptions!$C$8/4)/2),0)</f>
        <v/>
      </c>
      <c r="H38" s="14">
        <f>IF(A38=1,MIN(Assumptions!$C$15,Assumptions!$C$17*Assumptions!$C$6),IF(A38=1+Assumptions!$C$8,MIN(Assumptions!$C$15,Assumptions!$C$17*Assumptions!$C$9)-MIN(Assumptions!$C$15,Assumptions!$C$17*Assumptions!$C$6),0))</f>
        <v/>
      </c>
      <c r="I38" s="14">
        <f>F38+G38+H38</f>
        <v/>
      </c>
      <c r="J38" s="14">
        <f>Assumptions!$C$24/4*X38</f>
        <v/>
      </c>
      <c r="K38" s="14">
        <f>Assumptions!$C$25/4*X38</f>
        <v/>
      </c>
      <c r="L38" s="14">
        <f>Assumptions!$C$26/4*X38</f>
        <v/>
      </c>
      <c r="M38" s="14">
        <f>Assumptions!$C$27/4*X38</f>
        <v/>
      </c>
      <c r="N38" s="14">
        <f>Assumptions!$C$28/4*X38</f>
        <v/>
      </c>
      <c r="O38" s="14">
        <f>IF(A38=0,Assumptions!$C$16+Assumptions!$C$31+Assumptions!$C$32,IF(A38=1,Assumptions!$C$15-Assumptions!$C$16,0))</f>
        <v/>
      </c>
      <c r="P38" s="14">
        <f>Assumptions!$C$29/4*X38</f>
        <v/>
      </c>
      <c r="Q38" s="14">
        <f>SUM(J38:P38)+Z38</f>
        <v/>
      </c>
      <c r="R38" s="14">
        <f>I38-Q38</f>
        <v/>
      </c>
      <c r="S38" s="14">
        <f>S37+R38</f>
        <v/>
      </c>
      <c r="T38" s="14">
        <f>IF(OR(A38=0,A38&gt;Assumptions!$C$12),0,D38*(1-Assumptions!$C$19)/Assumptions!$C$12+IF(A38=1+Assumptions!$C$8,Assumptions!$C$7*(1-Assumptions!$C$19)/Assumptions!$C$12*Assumptions!$C$8,0))+Y38</f>
        <v/>
      </c>
      <c r="U38" s="14">
        <f>IF(A38&gt;Assumptions!$C$12,V37*Assumptions!$C$23,0)</f>
        <v/>
      </c>
      <c r="V38" s="14">
        <f>V37*(1-IF(A38&gt;Assumptions!$C$12,Assumptions!$C$23,0))+T38</f>
        <v/>
      </c>
      <c r="W38" s="14">
        <f>IF(OR(A38=0,A38&gt;Assumptions!$C$13),0,Assumptions!$C$18/4)</f>
        <v/>
      </c>
      <c r="X38" s="15">
        <f>IF(A38=0,0,IF(A38&gt;Assumptions!$C$12,Assumptions!$C$30,1))</f>
        <v/>
      </c>
      <c r="Y38" s="14">
        <f>IF(AND(A38&gt;=9,A38&lt;=Assumptions!$C$12),Assumptions!$C$20*Assumptions!$C$10*Assumptions!$C$9*Assumptions!$C$12/4/(Assumptions!$C$12-8),0)</f>
        <v/>
      </c>
      <c r="Z38" s="14">
        <f>IF(Assumptions!$C$22=1,0,Assumptions!$C$21*(T38-Y38+F38+G38+W38))</f>
        <v/>
      </c>
    </row>
    <row r="39">
      <c r="A39" t="n">
        <v>34</v>
      </c>
      <c r="B39">
        <f>IF(A39=0,0,ROUNDUP(A39/4,0))</f>
        <v/>
      </c>
      <c r="C39">
        <f>IF(A39=0,"Pre-close","Y"&amp;B39&amp;" Q"&amp;(A39-(B39-1)*4))</f>
        <v/>
      </c>
      <c r="D39" s="14">
        <f>IF(A39=0,0,Assumptions!$C$6+IF(A39&gt;=1+Assumptions!$C$8,Assumptions!$C$7,0))</f>
        <v/>
      </c>
      <c r="E39" s="14">
        <f>IF(A39&lt;=Assumptions!$C$12,D39,V38)</f>
        <v/>
      </c>
      <c r="F39" s="14">
        <f>IF(OR(A39=0,A39&gt;Assumptions!$C$13),0,IF(A39&lt;=Assumptions!$C$12,Assumptions!$C$10,Assumptions!$C$11)*E39/4)-IF(Assumptions!$C$22=1,Assumptions!$C$21*(T39-Y39),0)</f>
        <v/>
      </c>
      <c r="G39" s="14">
        <f>IF(A39=1+Assumptions!$C$8,Assumptions!$C$7*Assumptions!$C$10*(Assumptions!$C$8/4)*(1+Assumptions!$C$14*(Assumptions!$C$8/4)/2),0)</f>
        <v/>
      </c>
      <c r="H39" s="14">
        <f>IF(A39=1,MIN(Assumptions!$C$15,Assumptions!$C$17*Assumptions!$C$6),IF(A39=1+Assumptions!$C$8,MIN(Assumptions!$C$15,Assumptions!$C$17*Assumptions!$C$9)-MIN(Assumptions!$C$15,Assumptions!$C$17*Assumptions!$C$6),0))</f>
        <v/>
      </c>
      <c r="I39" s="14">
        <f>F39+G39+H39</f>
        <v/>
      </c>
      <c r="J39" s="14">
        <f>Assumptions!$C$24/4*X39</f>
        <v/>
      </c>
      <c r="K39" s="14">
        <f>Assumptions!$C$25/4*X39</f>
        <v/>
      </c>
      <c r="L39" s="14">
        <f>Assumptions!$C$26/4*X39</f>
        <v/>
      </c>
      <c r="M39" s="14">
        <f>Assumptions!$C$27/4*X39</f>
        <v/>
      </c>
      <c r="N39" s="14">
        <f>Assumptions!$C$28/4*X39</f>
        <v/>
      </c>
      <c r="O39" s="14">
        <f>IF(A39=0,Assumptions!$C$16+Assumptions!$C$31+Assumptions!$C$32,IF(A39=1,Assumptions!$C$15-Assumptions!$C$16,0))</f>
        <v/>
      </c>
      <c r="P39" s="14">
        <f>Assumptions!$C$29/4*X39</f>
        <v/>
      </c>
      <c r="Q39" s="14">
        <f>SUM(J39:P39)+Z39</f>
        <v/>
      </c>
      <c r="R39" s="14">
        <f>I39-Q39</f>
        <v/>
      </c>
      <c r="S39" s="14">
        <f>S38+R39</f>
        <v/>
      </c>
      <c r="T39" s="14">
        <f>IF(OR(A39=0,A39&gt;Assumptions!$C$12),0,D39*(1-Assumptions!$C$19)/Assumptions!$C$12+IF(A39=1+Assumptions!$C$8,Assumptions!$C$7*(1-Assumptions!$C$19)/Assumptions!$C$12*Assumptions!$C$8,0))+Y39</f>
        <v/>
      </c>
      <c r="U39" s="14">
        <f>IF(A39&gt;Assumptions!$C$12,V38*Assumptions!$C$23,0)</f>
        <v/>
      </c>
      <c r="V39" s="14">
        <f>V38*(1-IF(A39&gt;Assumptions!$C$12,Assumptions!$C$23,0))+T39</f>
        <v/>
      </c>
      <c r="W39" s="14">
        <f>IF(OR(A39=0,A39&gt;Assumptions!$C$13),0,Assumptions!$C$18/4)</f>
        <v/>
      </c>
      <c r="X39" s="15">
        <f>IF(A39=0,0,IF(A39&gt;Assumptions!$C$12,Assumptions!$C$30,1))</f>
        <v/>
      </c>
      <c r="Y39" s="14">
        <f>IF(AND(A39&gt;=9,A39&lt;=Assumptions!$C$12),Assumptions!$C$20*Assumptions!$C$10*Assumptions!$C$9*Assumptions!$C$12/4/(Assumptions!$C$12-8),0)</f>
        <v/>
      </c>
      <c r="Z39" s="14">
        <f>IF(Assumptions!$C$22=1,0,Assumptions!$C$21*(T39-Y39+F39+G39+W39))</f>
        <v/>
      </c>
    </row>
    <row r="40">
      <c r="A40" t="n">
        <v>35</v>
      </c>
      <c r="B40">
        <f>IF(A40=0,0,ROUNDUP(A40/4,0))</f>
        <v/>
      </c>
      <c r="C40">
        <f>IF(A40=0,"Pre-close","Y"&amp;B40&amp;" Q"&amp;(A40-(B40-1)*4))</f>
        <v/>
      </c>
      <c r="D40" s="14">
        <f>IF(A40=0,0,Assumptions!$C$6+IF(A40&gt;=1+Assumptions!$C$8,Assumptions!$C$7,0))</f>
        <v/>
      </c>
      <c r="E40" s="14">
        <f>IF(A40&lt;=Assumptions!$C$12,D40,V39)</f>
        <v/>
      </c>
      <c r="F40" s="14">
        <f>IF(OR(A40=0,A40&gt;Assumptions!$C$13),0,IF(A40&lt;=Assumptions!$C$12,Assumptions!$C$10,Assumptions!$C$11)*E40/4)-IF(Assumptions!$C$22=1,Assumptions!$C$21*(T40-Y40),0)</f>
        <v/>
      </c>
      <c r="G40" s="14">
        <f>IF(A40=1+Assumptions!$C$8,Assumptions!$C$7*Assumptions!$C$10*(Assumptions!$C$8/4)*(1+Assumptions!$C$14*(Assumptions!$C$8/4)/2),0)</f>
        <v/>
      </c>
      <c r="H40" s="14">
        <f>IF(A40=1,MIN(Assumptions!$C$15,Assumptions!$C$17*Assumptions!$C$6),IF(A40=1+Assumptions!$C$8,MIN(Assumptions!$C$15,Assumptions!$C$17*Assumptions!$C$9)-MIN(Assumptions!$C$15,Assumptions!$C$17*Assumptions!$C$6),0))</f>
        <v/>
      </c>
      <c r="I40" s="14">
        <f>F40+G40+H40</f>
        <v/>
      </c>
      <c r="J40" s="14">
        <f>Assumptions!$C$24/4*X40</f>
        <v/>
      </c>
      <c r="K40" s="14">
        <f>Assumptions!$C$25/4*X40</f>
        <v/>
      </c>
      <c r="L40" s="14">
        <f>Assumptions!$C$26/4*X40</f>
        <v/>
      </c>
      <c r="M40" s="14">
        <f>Assumptions!$C$27/4*X40</f>
        <v/>
      </c>
      <c r="N40" s="14">
        <f>Assumptions!$C$28/4*X40</f>
        <v/>
      </c>
      <c r="O40" s="14">
        <f>IF(A40=0,Assumptions!$C$16+Assumptions!$C$31+Assumptions!$C$32,IF(A40=1,Assumptions!$C$15-Assumptions!$C$16,0))</f>
        <v/>
      </c>
      <c r="P40" s="14">
        <f>Assumptions!$C$29/4*X40</f>
        <v/>
      </c>
      <c r="Q40" s="14">
        <f>SUM(J40:P40)+Z40</f>
        <v/>
      </c>
      <c r="R40" s="14">
        <f>I40-Q40</f>
        <v/>
      </c>
      <c r="S40" s="14">
        <f>S39+R40</f>
        <v/>
      </c>
      <c r="T40" s="14">
        <f>IF(OR(A40=0,A40&gt;Assumptions!$C$12),0,D40*(1-Assumptions!$C$19)/Assumptions!$C$12+IF(A40=1+Assumptions!$C$8,Assumptions!$C$7*(1-Assumptions!$C$19)/Assumptions!$C$12*Assumptions!$C$8,0))+Y40</f>
        <v/>
      </c>
      <c r="U40" s="14">
        <f>IF(A40&gt;Assumptions!$C$12,V39*Assumptions!$C$23,0)</f>
        <v/>
      </c>
      <c r="V40" s="14">
        <f>V39*(1-IF(A40&gt;Assumptions!$C$12,Assumptions!$C$23,0))+T40</f>
        <v/>
      </c>
      <c r="W40" s="14">
        <f>IF(OR(A40=0,A40&gt;Assumptions!$C$13),0,Assumptions!$C$18/4)</f>
        <v/>
      </c>
      <c r="X40" s="15">
        <f>IF(A40=0,0,IF(A40&gt;Assumptions!$C$12,Assumptions!$C$30,1))</f>
        <v/>
      </c>
      <c r="Y40" s="14">
        <f>IF(AND(A40&gt;=9,A40&lt;=Assumptions!$C$12),Assumptions!$C$20*Assumptions!$C$10*Assumptions!$C$9*Assumptions!$C$12/4/(Assumptions!$C$12-8),0)</f>
        <v/>
      </c>
      <c r="Z40" s="14">
        <f>IF(Assumptions!$C$22=1,0,Assumptions!$C$21*(T40-Y40+F40+G40+W40))</f>
        <v/>
      </c>
    </row>
    <row r="41">
      <c r="A41" t="n">
        <v>36</v>
      </c>
      <c r="B41">
        <f>IF(A41=0,0,ROUNDUP(A41/4,0))</f>
        <v/>
      </c>
      <c r="C41">
        <f>IF(A41=0,"Pre-close","Y"&amp;B41&amp;" Q"&amp;(A41-(B41-1)*4))</f>
        <v/>
      </c>
      <c r="D41" s="14">
        <f>IF(A41=0,0,Assumptions!$C$6+IF(A41&gt;=1+Assumptions!$C$8,Assumptions!$C$7,0))</f>
        <v/>
      </c>
      <c r="E41" s="14">
        <f>IF(A41&lt;=Assumptions!$C$12,D41,V40)</f>
        <v/>
      </c>
      <c r="F41" s="14">
        <f>IF(OR(A41=0,A41&gt;Assumptions!$C$13),0,IF(A41&lt;=Assumptions!$C$12,Assumptions!$C$10,Assumptions!$C$11)*E41/4)-IF(Assumptions!$C$22=1,Assumptions!$C$21*(T41-Y41),0)</f>
        <v/>
      </c>
      <c r="G41" s="14">
        <f>IF(A41=1+Assumptions!$C$8,Assumptions!$C$7*Assumptions!$C$10*(Assumptions!$C$8/4)*(1+Assumptions!$C$14*(Assumptions!$C$8/4)/2),0)</f>
        <v/>
      </c>
      <c r="H41" s="14">
        <f>IF(A41=1,MIN(Assumptions!$C$15,Assumptions!$C$17*Assumptions!$C$6),IF(A41=1+Assumptions!$C$8,MIN(Assumptions!$C$15,Assumptions!$C$17*Assumptions!$C$9)-MIN(Assumptions!$C$15,Assumptions!$C$17*Assumptions!$C$6),0))</f>
        <v/>
      </c>
      <c r="I41" s="14">
        <f>F41+G41+H41</f>
        <v/>
      </c>
      <c r="J41" s="14">
        <f>Assumptions!$C$24/4*X41</f>
        <v/>
      </c>
      <c r="K41" s="14">
        <f>Assumptions!$C$25/4*X41</f>
        <v/>
      </c>
      <c r="L41" s="14">
        <f>Assumptions!$C$26/4*X41</f>
        <v/>
      </c>
      <c r="M41" s="14">
        <f>Assumptions!$C$27/4*X41</f>
        <v/>
      </c>
      <c r="N41" s="14">
        <f>Assumptions!$C$28/4*X41</f>
        <v/>
      </c>
      <c r="O41" s="14">
        <f>IF(A41=0,Assumptions!$C$16+Assumptions!$C$31+Assumptions!$C$32,IF(A41=1,Assumptions!$C$15-Assumptions!$C$16,0))</f>
        <v/>
      </c>
      <c r="P41" s="14">
        <f>Assumptions!$C$29/4*X41</f>
        <v/>
      </c>
      <c r="Q41" s="14">
        <f>SUM(J41:P41)+Z41</f>
        <v/>
      </c>
      <c r="R41" s="14">
        <f>I41-Q41</f>
        <v/>
      </c>
      <c r="S41" s="14">
        <f>S40+R41</f>
        <v/>
      </c>
      <c r="T41" s="14">
        <f>IF(OR(A41=0,A41&gt;Assumptions!$C$12),0,D41*(1-Assumptions!$C$19)/Assumptions!$C$12+IF(A41=1+Assumptions!$C$8,Assumptions!$C$7*(1-Assumptions!$C$19)/Assumptions!$C$12*Assumptions!$C$8,0))+Y41</f>
        <v/>
      </c>
      <c r="U41" s="14">
        <f>IF(A41&gt;Assumptions!$C$12,V40*Assumptions!$C$23,0)</f>
        <v/>
      </c>
      <c r="V41" s="14">
        <f>V40*(1-IF(A41&gt;Assumptions!$C$12,Assumptions!$C$23,0))+T41</f>
        <v/>
      </c>
      <c r="W41" s="14">
        <f>IF(OR(A41=0,A41&gt;Assumptions!$C$13),0,Assumptions!$C$18/4)</f>
        <v/>
      </c>
      <c r="X41" s="15">
        <f>IF(A41=0,0,IF(A41&gt;Assumptions!$C$12,Assumptions!$C$30,1))</f>
        <v/>
      </c>
      <c r="Y41" s="14">
        <f>IF(AND(A41&gt;=9,A41&lt;=Assumptions!$C$12),Assumptions!$C$20*Assumptions!$C$10*Assumptions!$C$9*Assumptions!$C$12/4/(Assumptions!$C$12-8),0)</f>
        <v/>
      </c>
      <c r="Z41" s="14">
        <f>IF(Assumptions!$C$22=1,0,Assumptions!$C$21*(T41-Y41+F41+G41+W41))</f>
        <v/>
      </c>
    </row>
    <row r="42">
      <c r="A42" t="n">
        <v>37</v>
      </c>
      <c r="B42">
        <f>IF(A42=0,0,ROUNDUP(A42/4,0))</f>
        <v/>
      </c>
      <c r="C42">
        <f>IF(A42=0,"Pre-close","Y"&amp;B42&amp;" Q"&amp;(A42-(B42-1)*4))</f>
        <v/>
      </c>
      <c r="D42" s="14">
        <f>IF(A42=0,0,Assumptions!$C$6+IF(A42&gt;=1+Assumptions!$C$8,Assumptions!$C$7,0))</f>
        <v/>
      </c>
      <c r="E42" s="14">
        <f>IF(A42&lt;=Assumptions!$C$12,D42,V41)</f>
        <v/>
      </c>
      <c r="F42" s="14">
        <f>IF(OR(A42=0,A42&gt;Assumptions!$C$13),0,IF(A42&lt;=Assumptions!$C$12,Assumptions!$C$10,Assumptions!$C$11)*E42/4)-IF(Assumptions!$C$22=1,Assumptions!$C$21*(T42-Y42),0)</f>
        <v/>
      </c>
      <c r="G42" s="14">
        <f>IF(A42=1+Assumptions!$C$8,Assumptions!$C$7*Assumptions!$C$10*(Assumptions!$C$8/4)*(1+Assumptions!$C$14*(Assumptions!$C$8/4)/2),0)</f>
        <v/>
      </c>
      <c r="H42" s="14">
        <f>IF(A42=1,MIN(Assumptions!$C$15,Assumptions!$C$17*Assumptions!$C$6),IF(A42=1+Assumptions!$C$8,MIN(Assumptions!$C$15,Assumptions!$C$17*Assumptions!$C$9)-MIN(Assumptions!$C$15,Assumptions!$C$17*Assumptions!$C$6),0))</f>
        <v/>
      </c>
      <c r="I42" s="14">
        <f>F42+G42+H42</f>
        <v/>
      </c>
      <c r="J42" s="14">
        <f>Assumptions!$C$24/4*X42</f>
        <v/>
      </c>
      <c r="K42" s="14">
        <f>Assumptions!$C$25/4*X42</f>
        <v/>
      </c>
      <c r="L42" s="14">
        <f>Assumptions!$C$26/4*X42</f>
        <v/>
      </c>
      <c r="M42" s="14">
        <f>Assumptions!$C$27/4*X42</f>
        <v/>
      </c>
      <c r="N42" s="14">
        <f>Assumptions!$C$28/4*X42</f>
        <v/>
      </c>
      <c r="O42" s="14">
        <f>IF(A42=0,Assumptions!$C$16+Assumptions!$C$31+Assumptions!$C$32,IF(A42=1,Assumptions!$C$15-Assumptions!$C$16,0))</f>
        <v/>
      </c>
      <c r="P42" s="14">
        <f>Assumptions!$C$29/4*X42</f>
        <v/>
      </c>
      <c r="Q42" s="14">
        <f>SUM(J42:P42)+Z42</f>
        <v/>
      </c>
      <c r="R42" s="14">
        <f>I42-Q42</f>
        <v/>
      </c>
      <c r="S42" s="14">
        <f>S41+R42</f>
        <v/>
      </c>
      <c r="T42" s="14">
        <f>IF(OR(A42=0,A42&gt;Assumptions!$C$12),0,D42*(1-Assumptions!$C$19)/Assumptions!$C$12+IF(A42=1+Assumptions!$C$8,Assumptions!$C$7*(1-Assumptions!$C$19)/Assumptions!$C$12*Assumptions!$C$8,0))+Y42</f>
        <v/>
      </c>
      <c r="U42" s="14">
        <f>IF(A42&gt;Assumptions!$C$12,V41*Assumptions!$C$23,0)</f>
        <v/>
      </c>
      <c r="V42" s="14">
        <f>V41*(1-IF(A42&gt;Assumptions!$C$12,Assumptions!$C$23,0))+T42</f>
        <v/>
      </c>
      <c r="W42" s="14">
        <f>IF(OR(A42=0,A42&gt;Assumptions!$C$13),0,Assumptions!$C$18/4)</f>
        <v/>
      </c>
      <c r="X42" s="15">
        <f>IF(A42=0,0,IF(A42&gt;Assumptions!$C$12,Assumptions!$C$30,1))</f>
        <v/>
      </c>
      <c r="Y42" s="14">
        <f>IF(AND(A42&gt;=9,A42&lt;=Assumptions!$C$12),Assumptions!$C$20*Assumptions!$C$10*Assumptions!$C$9*Assumptions!$C$12/4/(Assumptions!$C$12-8),0)</f>
        <v/>
      </c>
      <c r="Z42" s="14">
        <f>IF(Assumptions!$C$22=1,0,Assumptions!$C$21*(T42-Y42+F42+G42+W42))</f>
        <v/>
      </c>
    </row>
    <row r="43">
      <c r="A43" t="n">
        <v>38</v>
      </c>
      <c r="B43">
        <f>IF(A43=0,0,ROUNDUP(A43/4,0))</f>
        <v/>
      </c>
      <c r="C43">
        <f>IF(A43=0,"Pre-close","Y"&amp;B43&amp;" Q"&amp;(A43-(B43-1)*4))</f>
        <v/>
      </c>
      <c r="D43" s="14">
        <f>IF(A43=0,0,Assumptions!$C$6+IF(A43&gt;=1+Assumptions!$C$8,Assumptions!$C$7,0))</f>
        <v/>
      </c>
      <c r="E43" s="14">
        <f>IF(A43&lt;=Assumptions!$C$12,D43,V42)</f>
        <v/>
      </c>
      <c r="F43" s="14">
        <f>IF(OR(A43=0,A43&gt;Assumptions!$C$13),0,IF(A43&lt;=Assumptions!$C$12,Assumptions!$C$10,Assumptions!$C$11)*E43/4)-IF(Assumptions!$C$22=1,Assumptions!$C$21*(T43-Y43),0)</f>
        <v/>
      </c>
      <c r="G43" s="14">
        <f>IF(A43=1+Assumptions!$C$8,Assumptions!$C$7*Assumptions!$C$10*(Assumptions!$C$8/4)*(1+Assumptions!$C$14*(Assumptions!$C$8/4)/2),0)</f>
        <v/>
      </c>
      <c r="H43" s="14">
        <f>IF(A43=1,MIN(Assumptions!$C$15,Assumptions!$C$17*Assumptions!$C$6),IF(A43=1+Assumptions!$C$8,MIN(Assumptions!$C$15,Assumptions!$C$17*Assumptions!$C$9)-MIN(Assumptions!$C$15,Assumptions!$C$17*Assumptions!$C$6),0))</f>
        <v/>
      </c>
      <c r="I43" s="14">
        <f>F43+G43+H43</f>
        <v/>
      </c>
      <c r="J43" s="14">
        <f>Assumptions!$C$24/4*X43</f>
        <v/>
      </c>
      <c r="K43" s="14">
        <f>Assumptions!$C$25/4*X43</f>
        <v/>
      </c>
      <c r="L43" s="14">
        <f>Assumptions!$C$26/4*X43</f>
        <v/>
      </c>
      <c r="M43" s="14">
        <f>Assumptions!$C$27/4*X43</f>
        <v/>
      </c>
      <c r="N43" s="14">
        <f>Assumptions!$C$28/4*X43</f>
        <v/>
      </c>
      <c r="O43" s="14">
        <f>IF(A43=0,Assumptions!$C$16+Assumptions!$C$31+Assumptions!$C$32,IF(A43=1,Assumptions!$C$15-Assumptions!$C$16,0))</f>
        <v/>
      </c>
      <c r="P43" s="14">
        <f>Assumptions!$C$29/4*X43</f>
        <v/>
      </c>
      <c r="Q43" s="14">
        <f>SUM(J43:P43)+Z43</f>
        <v/>
      </c>
      <c r="R43" s="14">
        <f>I43-Q43</f>
        <v/>
      </c>
      <c r="S43" s="14">
        <f>S42+R43</f>
        <v/>
      </c>
      <c r="T43" s="14">
        <f>IF(OR(A43=0,A43&gt;Assumptions!$C$12),0,D43*(1-Assumptions!$C$19)/Assumptions!$C$12+IF(A43=1+Assumptions!$C$8,Assumptions!$C$7*(1-Assumptions!$C$19)/Assumptions!$C$12*Assumptions!$C$8,0))+Y43</f>
        <v/>
      </c>
      <c r="U43" s="14">
        <f>IF(A43&gt;Assumptions!$C$12,V42*Assumptions!$C$23,0)</f>
        <v/>
      </c>
      <c r="V43" s="14">
        <f>V42*(1-IF(A43&gt;Assumptions!$C$12,Assumptions!$C$23,0))+T43</f>
        <v/>
      </c>
      <c r="W43" s="14">
        <f>IF(OR(A43=0,A43&gt;Assumptions!$C$13),0,Assumptions!$C$18/4)</f>
        <v/>
      </c>
      <c r="X43" s="15">
        <f>IF(A43=0,0,IF(A43&gt;Assumptions!$C$12,Assumptions!$C$30,1))</f>
        <v/>
      </c>
      <c r="Y43" s="14">
        <f>IF(AND(A43&gt;=9,A43&lt;=Assumptions!$C$12),Assumptions!$C$20*Assumptions!$C$10*Assumptions!$C$9*Assumptions!$C$12/4/(Assumptions!$C$12-8),0)</f>
        <v/>
      </c>
      <c r="Z43" s="14">
        <f>IF(Assumptions!$C$22=1,0,Assumptions!$C$21*(T43-Y43+F43+G43+W43))</f>
        <v/>
      </c>
    </row>
    <row r="44">
      <c r="A44" t="n">
        <v>39</v>
      </c>
      <c r="B44">
        <f>IF(A44=0,0,ROUNDUP(A44/4,0))</f>
        <v/>
      </c>
      <c r="C44">
        <f>IF(A44=0,"Pre-close","Y"&amp;B44&amp;" Q"&amp;(A44-(B44-1)*4))</f>
        <v/>
      </c>
      <c r="D44" s="14">
        <f>IF(A44=0,0,Assumptions!$C$6+IF(A44&gt;=1+Assumptions!$C$8,Assumptions!$C$7,0))</f>
        <v/>
      </c>
      <c r="E44" s="14">
        <f>IF(A44&lt;=Assumptions!$C$12,D44,V43)</f>
        <v/>
      </c>
      <c r="F44" s="14">
        <f>IF(OR(A44=0,A44&gt;Assumptions!$C$13),0,IF(A44&lt;=Assumptions!$C$12,Assumptions!$C$10,Assumptions!$C$11)*E44/4)-IF(Assumptions!$C$22=1,Assumptions!$C$21*(T44-Y44),0)</f>
        <v/>
      </c>
      <c r="G44" s="14">
        <f>IF(A44=1+Assumptions!$C$8,Assumptions!$C$7*Assumptions!$C$10*(Assumptions!$C$8/4)*(1+Assumptions!$C$14*(Assumptions!$C$8/4)/2),0)</f>
        <v/>
      </c>
      <c r="H44" s="14">
        <f>IF(A44=1,MIN(Assumptions!$C$15,Assumptions!$C$17*Assumptions!$C$6),IF(A44=1+Assumptions!$C$8,MIN(Assumptions!$C$15,Assumptions!$C$17*Assumptions!$C$9)-MIN(Assumptions!$C$15,Assumptions!$C$17*Assumptions!$C$6),0))</f>
        <v/>
      </c>
      <c r="I44" s="14">
        <f>F44+G44+H44</f>
        <v/>
      </c>
      <c r="J44" s="14">
        <f>Assumptions!$C$24/4*X44</f>
        <v/>
      </c>
      <c r="K44" s="14">
        <f>Assumptions!$C$25/4*X44</f>
        <v/>
      </c>
      <c r="L44" s="14">
        <f>Assumptions!$C$26/4*X44</f>
        <v/>
      </c>
      <c r="M44" s="14">
        <f>Assumptions!$C$27/4*X44</f>
        <v/>
      </c>
      <c r="N44" s="14">
        <f>Assumptions!$C$28/4*X44</f>
        <v/>
      </c>
      <c r="O44" s="14">
        <f>IF(A44=0,Assumptions!$C$16+Assumptions!$C$31+Assumptions!$C$32,IF(A44=1,Assumptions!$C$15-Assumptions!$C$16,0))</f>
        <v/>
      </c>
      <c r="P44" s="14">
        <f>Assumptions!$C$29/4*X44</f>
        <v/>
      </c>
      <c r="Q44" s="14">
        <f>SUM(J44:P44)+Z44</f>
        <v/>
      </c>
      <c r="R44" s="14">
        <f>I44-Q44</f>
        <v/>
      </c>
      <c r="S44" s="14">
        <f>S43+R44</f>
        <v/>
      </c>
      <c r="T44" s="14">
        <f>IF(OR(A44=0,A44&gt;Assumptions!$C$12),0,D44*(1-Assumptions!$C$19)/Assumptions!$C$12+IF(A44=1+Assumptions!$C$8,Assumptions!$C$7*(1-Assumptions!$C$19)/Assumptions!$C$12*Assumptions!$C$8,0))+Y44</f>
        <v/>
      </c>
      <c r="U44" s="14">
        <f>IF(A44&gt;Assumptions!$C$12,V43*Assumptions!$C$23,0)</f>
        <v/>
      </c>
      <c r="V44" s="14">
        <f>V43*(1-IF(A44&gt;Assumptions!$C$12,Assumptions!$C$23,0))+T44</f>
        <v/>
      </c>
      <c r="W44" s="14">
        <f>IF(OR(A44=0,A44&gt;Assumptions!$C$13),0,Assumptions!$C$18/4)</f>
        <v/>
      </c>
      <c r="X44" s="15">
        <f>IF(A44=0,0,IF(A44&gt;Assumptions!$C$12,Assumptions!$C$30,1))</f>
        <v/>
      </c>
      <c r="Y44" s="14">
        <f>IF(AND(A44&gt;=9,A44&lt;=Assumptions!$C$12),Assumptions!$C$20*Assumptions!$C$10*Assumptions!$C$9*Assumptions!$C$12/4/(Assumptions!$C$12-8),0)</f>
        <v/>
      </c>
      <c r="Z44" s="14">
        <f>IF(Assumptions!$C$22=1,0,Assumptions!$C$21*(T44-Y44+F44+G44+W44))</f>
        <v/>
      </c>
    </row>
    <row r="45">
      <c r="A45" t="n">
        <v>40</v>
      </c>
      <c r="B45">
        <f>IF(A45=0,0,ROUNDUP(A45/4,0))</f>
        <v/>
      </c>
      <c r="C45">
        <f>IF(A45=0,"Pre-close","Y"&amp;B45&amp;" Q"&amp;(A45-(B45-1)*4))</f>
        <v/>
      </c>
      <c r="D45" s="14">
        <f>IF(A45=0,0,Assumptions!$C$6+IF(A45&gt;=1+Assumptions!$C$8,Assumptions!$C$7,0))</f>
        <v/>
      </c>
      <c r="E45" s="14">
        <f>IF(A45&lt;=Assumptions!$C$12,D45,V44)</f>
        <v/>
      </c>
      <c r="F45" s="14">
        <f>IF(OR(A45=0,A45&gt;Assumptions!$C$13),0,IF(A45&lt;=Assumptions!$C$12,Assumptions!$C$10,Assumptions!$C$11)*E45/4)-IF(Assumptions!$C$22=1,Assumptions!$C$21*(T45-Y45),0)</f>
        <v/>
      </c>
      <c r="G45" s="14">
        <f>IF(A45=1+Assumptions!$C$8,Assumptions!$C$7*Assumptions!$C$10*(Assumptions!$C$8/4)*(1+Assumptions!$C$14*(Assumptions!$C$8/4)/2),0)</f>
        <v/>
      </c>
      <c r="H45" s="14">
        <f>IF(A45=1,MIN(Assumptions!$C$15,Assumptions!$C$17*Assumptions!$C$6),IF(A45=1+Assumptions!$C$8,MIN(Assumptions!$C$15,Assumptions!$C$17*Assumptions!$C$9)-MIN(Assumptions!$C$15,Assumptions!$C$17*Assumptions!$C$6),0))</f>
        <v/>
      </c>
      <c r="I45" s="14">
        <f>F45+G45+H45</f>
        <v/>
      </c>
      <c r="J45" s="14">
        <f>Assumptions!$C$24/4*X45</f>
        <v/>
      </c>
      <c r="K45" s="14">
        <f>Assumptions!$C$25/4*X45</f>
        <v/>
      </c>
      <c r="L45" s="14">
        <f>Assumptions!$C$26/4*X45</f>
        <v/>
      </c>
      <c r="M45" s="14">
        <f>Assumptions!$C$27/4*X45</f>
        <v/>
      </c>
      <c r="N45" s="14">
        <f>Assumptions!$C$28/4*X45</f>
        <v/>
      </c>
      <c r="O45" s="14">
        <f>IF(A45=0,Assumptions!$C$16+Assumptions!$C$31+Assumptions!$C$32,IF(A45=1,Assumptions!$C$15-Assumptions!$C$16,0))</f>
        <v/>
      </c>
      <c r="P45" s="14">
        <f>Assumptions!$C$29/4*X45</f>
        <v/>
      </c>
      <c r="Q45" s="14">
        <f>SUM(J45:P45)+Z45</f>
        <v/>
      </c>
      <c r="R45" s="14">
        <f>I45-Q45</f>
        <v/>
      </c>
      <c r="S45" s="14">
        <f>S44+R45</f>
        <v/>
      </c>
      <c r="T45" s="14">
        <f>IF(OR(A45=0,A45&gt;Assumptions!$C$12),0,D45*(1-Assumptions!$C$19)/Assumptions!$C$12+IF(A45=1+Assumptions!$C$8,Assumptions!$C$7*(1-Assumptions!$C$19)/Assumptions!$C$12*Assumptions!$C$8,0))+Y45</f>
        <v/>
      </c>
      <c r="U45" s="14">
        <f>IF(A45&gt;Assumptions!$C$12,V44*Assumptions!$C$23,0)</f>
        <v/>
      </c>
      <c r="V45" s="14">
        <f>V44*(1-IF(A45&gt;Assumptions!$C$12,Assumptions!$C$23,0))+T45</f>
        <v/>
      </c>
      <c r="W45" s="14">
        <f>IF(OR(A45=0,A45&gt;Assumptions!$C$13),0,Assumptions!$C$18/4)</f>
        <v/>
      </c>
      <c r="X45" s="15">
        <f>IF(A45=0,0,IF(A45&gt;Assumptions!$C$12,Assumptions!$C$30,1))</f>
        <v/>
      </c>
      <c r="Y45" s="14">
        <f>IF(AND(A45&gt;=9,A45&lt;=Assumptions!$C$12),Assumptions!$C$20*Assumptions!$C$10*Assumptions!$C$9*Assumptions!$C$12/4/(Assumptions!$C$12-8),0)</f>
        <v/>
      </c>
      <c r="Z45" s="14">
        <f>IF(Assumptions!$C$22=1,0,Assumptions!$C$21*(T45-Y45+F45+G45+W45))</f>
        <v/>
      </c>
    </row>
    <row r="46">
      <c r="C46" s="7" t="inlineStr">
        <is>
          <t>TOTAL</t>
        </is>
      </c>
      <c r="F46" s="16">
        <f>SUM(F5:F45)</f>
        <v/>
      </c>
      <c r="G46" s="16">
        <f>SUM(G5:G45)</f>
        <v/>
      </c>
      <c r="H46" s="16">
        <f>SUM(H5:H45)</f>
        <v/>
      </c>
      <c r="I46" s="16">
        <f>SUM(I5:I45)</f>
        <v/>
      </c>
      <c r="J46" s="16">
        <f>SUM(J5:J45)</f>
        <v/>
      </c>
      <c r="K46" s="16">
        <f>SUM(K5:K45)</f>
        <v/>
      </c>
      <c r="L46" s="16">
        <f>SUM(L5:L45)</f>
        <v/>
      </c>
      <c r="M46" s="16">
        <f>SUM(M5:M45)</f>
        <v/>
      </c>
      <c r="N46" s="16">
        <f>SUM(N5:N45)</f>
        <v/>
      </c>
      <c r="O46" s="16">
        <f>SUM(O5:O45)</f>
        <v/>
      </c>
      <c r="P46" s="16">
        <f>SUM(P5:P45)</f>
        <v/>
      </c>
      <c r="Q46" s="16">
        <f>SUM(Q5:Q45)</f>
        <v/>
      </c>
      <c r="R46" s="16">
        <f>SUM(R5:R45)</f>
        <v/>
      </c>
      <c r="T46" s="16">
        <f>SUM(T5:T45)</f>
        <v/>
      </c>
      <c r="U46" s="16">
        <f>SUM(U5:U45)</f>
        <v/>
      </c>
      <c r="W46" s="16">
        <f>SUM(W5:W45)</f>
        <v/>
      </c>
      <c r="Y46" s="16">
        <f>SUM(Y5:Y45)</f>
        <v/>
      </c>
      <c r="Z46" s="16">
        <f>SUM(Z5:Z45)</f>
        <v/>
      </c>
    </row>
    <row r="48">
      <c r="A48" s="7" t="inlineStr">
        <is>
          <t>KEY FIGURES</t>
        </is>
      </c>
    </row>
    <row r="49">
      <c r="A49" t="inlineStr">
        <is>
          <t>Total commitments</t>
        </is>
      </c>
      <c r="B49" s="14">
        <f>Assumptions!$C$9</f>
        <v/>
      </c>
    </row>
    <row r="50">
      <c r="A50" t="inlineStr">
        <is>
          <t>Total management fees over fund life</t>
        </is>
      </c>
      <c r="B50" s="14">
        <f>F46+G46</f>
        <v/>
      </c>
    </row>
    <row r="51">
      <c r="A51" t="inlineStr">
        <is>
          <t>Management fees as % of commitments</t>
        </is>
      </c>
      <c r="B51" s="17">
        <f>(F46+G46)/Assumptions!$C$9</f>
        <v/>
      </c>
    </row>
    <row r="52">
      <c r="A52" t="inlineStr">
        <is>
          <t>Fund expenses over fund life (borne by fund)</t>
        </is>
      </c>
      <c r="B52" s="14">
        <f>W46</f>
        <v/>
      </c>
    </row>
    <row r="53">
      <c r="A53" t="inlineStr">
        <is>
          <t>Org. expenses reimbursed by fund</t>
        </is>
      </c>
      <c r="B53" s="14">
        <f>H46</f>
        <v/>
      </c>
    </row>
    <row r="54">
      <c r="A54" t="inlineStr">
        <is>
          <t>Org. expenses NOT reimbursed (GP cost)</t>
        </is>
      </c>
      <c r="B54" s="14">
        <f>Assumptions!$C$15-H46</f>
        <v/>
      </c>
    </row>
    <row r="55">
      <c r="A55" t="inlineStr">
        <is>
          <t>Total deployed incl. recycled proceeds</t>
        </is>
      </c>
      <c r="B55" s="14">
        <f>T46</f>
        <v/>
      </c>
    </row>
    <row r="56">
      <c r="A56" t="inlineStr">
        <is>
          <t>of which recycled proceeds</t>
        </is>
      </c>
      <c r="B56" s="14">
        <f>Y46</f>
        <v/>
      </c>
    </row>
    <row r="57">
      <c r="A57" t="inlineStr">
        <is>
          <t>Deployed from LP drawdowns as % of commitments</t>
        </is>
      </c>
      <c r="B57" s="17">
        <f>(T46-Y46)/Assumptions!$C$9</f>
        <v/>
      </c>
    </row>
    <row r="58">
      <c r="A58" t="inlineStr">
        <is>
          <t>GP commitment paid in cash over fund life</t>
        </is>
      </c>
      <c r="B58" s="14">
        <f>Z46</f>
        <v/>
      </c>
    </row>
    <row r="59">
      <c r="A59" t="inlineStr">
        <is>
          <t>Cash received by mgmt co on first-close day</t>
        </is>
      </c>
      <c r="B59" s="14">
        <f>I6</f>
        <v/>
      </c>
    </row>
    <row r="60">
      <c r="A60" t="inlineStr">
        <is>
          <t>Steady-state quarterly fee after final close</t>
        </is>
      </c>
      <c r="B60" s="14">
        <f>INDEX(F5:F45,2+Assumptions!$C$8)</f>
        <v/>
      </c>
    </row>
    <row r="61">
      <c r="A61" t="inlineStr">
        <is>
          <t>Lowest cumulative cash during investment period</t>
        </is>
      </c>
      <c r="B61" s="14">
        <f>MIN(S5:S25)</f>
        <v/>
      </c>
    </row>
    <row r="62">
      <c r="A62" t="inlineStr">
        <is>
          <t>Quarter of that low point</t>
        </is>
      </c>
      <c r="B62">
        <f>INDEX(C5:C45,MATCH(MIN(S5:S25),S5:S25,0))</f>
        <v/>
      </c>
    </row>
    <row r="63">
      <c r="A63" t="inlineStr">
        <is>
          <t>Lowest cumulative cash over full term</t>
        </is>
      </c>
      <c r="B63" s="14">
        <f>MIN(S5:S45)</f>
        <v/>
      </c>
    </row>
    <row r="64">
      <c r="A64" t="inlineStr">
        <is>
          <t>Cumulative cash at end of fund term (10 years)</t>
        </is>
      </c>
      <c r="B64" s="14">
        <f>S45</f>
        <v/>
      </c>
    </row>
    <row r="66">
      <c r="A66" s="7" t="inlineStr">
        <is>
          <t>LP VIEW — WHERE 1,000,000 OF COMMITMENT GOES</t>
        </is>
      </c>
    </row>
    <row r="67">
      <c r="A67" t="inlineStr">
        <is>
          <t>Management fees over 10 years (incl. equalisation)</t>
        </is>
      </c>
      <c r="B67" s="14">
        <f>(F46+G46)/Assumptions!$C$9*1000000</f>
        <v/>
      </c>
    </row>
    <row r="68">
      <c r="A68" t="inlineStr">
        <is>
          <t>Fund expenses</t>
        </is>
      </c>
      <c r="B68" s="14">
        <f>W46/Assumptions!$C$9*1000000</f>
        <v/>
      </c>
    </row>
    <row r="69">
      <c r="A69" t="inlineStr">
        <is>
          <t>Organisational expenses (capped)</t>
        </is>
      </c>
      <c r="B69" s="14">
        <f>H46/Assumptions!$C$9*1000000</f>
        <v/>
      </c>
    </row>
    <row r="70">
      <c r="A70" t="inlineStr">
        <is>
          <t>Invested into portfolio companies (from drawdowns)</t>
        </is>
      </c>
      <c r="B70" s="14">
        <f>1000000-B67-B68-B69</f>
        <v/>
      </c>
    </row>
    <row r="71">
      <c r="A71" t="inlineStr">
        <is>
          <t>Total = commitment</t>
        </is>
      </c>
      <c r="B71" s="14">
        <f>SUM(B67:B70)</f>
        <v/>
      </c>
    </row>
    <row r="72">
      <c r="A72" t="inlineStr">
        <is>
          <t>Plus recycled proceeds — total working in companies</t>
        </is>
      </c>
      <c r="B72" s="14">
        <f>B70+Y46/Assumptions!$C$9*1000000</f>
        <v/>
      </c>
    </row>
    <row r="73">
      <c r="A73" t="inlineStr">
        <is>
          <t>Catch-up paid by a 1,000,000 LP joining at final close</t>
        </is>
      </c>
      <c r="B73" s="14">
        <f>1000000*Assumptions!$C$10*(Assumptions!$C$8/4)*(1+Assumptions!$C$14*(Assumptions!$C$8/4)/2)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Z7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6" customWidth="1" min="2" max="2"/>
    <col width="12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  <col width="13" customWidth="1" min="25" max="25"/>
    <col width="13" customWidth="1" min="26" max="26"/>
  </cols>
  <sheetData>
    <row r="1">
      <c r="A1" s="1" t="inlineStr">
        <is>
          <t>Quarterly cash flow of the management company — Base — EUR 35m</t>
        </is>
      </c>
    </row>
    <row r="2">
      <c r="A2" t="inlineStr">
        <is>
          <t>All inputs live on the Assumptions sheet. Nothing here is typed except the quarter number.</t>
        </is>
      </c>
    </row>
    <row r="4">
      <c r="A4" s="13" t="inlineStr">
        <is>
          <t>Q</t>
        </is>
      </c>
      <c r="B4" s="13" t="inlineStr">
        <is>
          <t>Year</t>
        </is>
      </c>
      <c r="C4" s="13" t="inlineStr">
        <is>
          <t>Period</t>
        </is>
      </c>
      <c r="D4" s="13" t="inlineStr">
        <is>
          <t>Commitments in force</t>
        </is>
      </c>
      <c r="E4" s="13" t="inlineStr">
        <is>
          <t>Fee basis</t>
        </is>
      </c>
      <c r="F4" s="13" t="inlineStr">
        <is>
          <t>Mgmt fee regular</t>
        </is>
      </c>
      <c r="G4" s="13" t="inlineStr">
        <is>
          <t>Equalisation catch-up</t>
        </is>
      </c>
      <c r="H4" s="13" t="inlineStr">
        <is>
          <t>Org reimbursement</t>
        </is>
      </c>
      <c r="I4" s="13" t="inlineStr">
        <is>
          <t>TOTAL INFLOW</t>
        </is>
      </c>
      <c r="J4" s="13" t="inlineStr">
        <is>
          <t>Platform</t>
        </is>
      </c>
      <c r="K4" s="13" t="inlineStr">
        <is>
          <t>HK staff</t>
        </is>
      </c>
      <c r="L4" s="13" t="inlineStr">
        <is>
          <t>HK office</t>
        </is>
      </c>
      <c r="M4" s="13" t="inlineStr">
        <is>
          <t>Travel</t>
        </is>
      </c>
      <c r="N4" s="13" t="inlineStr">
        <is>
          <t>Other</t>
        </is>
      </c>
      <c r="O4" s="13" t="inlineStr">
        <is>
          <t>Formation costs paid by GP</t>
        </is>
      </c>
      <c r="P4" s="13" t="inlineStr">
        <is>
          <t>German advisory fee</t>
        </is>
      </c>
      <c r="Q4" s="13" t="inlineStr">
        <is>
          <t>TOTAL OUTFLOW</t>
        </is>
      </c>
      <c r="R4" s="13" t="inlineStr">
        <is>
          <t>NET CASH</t>
        </is>
      </c>
      <c r="S4" s="13" t="inlineStr">
        <is>
          <t>CUMULATIVE CASH</t>
        </is>
      </c>
      <c r="T4" s="13" t="inlineStr">
        <is>
          <t>Memo deployed (incl. recycled)</t>
        </is>
      </c>
      <c r="U4" s="13" t="inlineStr">
        <is>
          <t>Memo exits at cost</t>
        </is>
      </c>
      <c r="V4" s="13" t="inlineStr">
        <is>
          <t>Memo invested cost end</t>
        </is>
      </c>
      <c r="W4" s="13" t="inlineStr">
        <is>
          <t>Memo fund expenses</t>
        </is>
      </c>
      <c r="X4" s="13" t="inlineStr">
        <is>
          <t>Cost factor</t>
        </is>
      </c>
      <c r="Y4" s="13" t="inlineStr">
        <is>
          <t>Memo recycled proceeds reinvested</t>
        </is>
      </c>
      <c r="Z4" s="13" t="inlineStr">
        <is>
          <t>GP commitment paid in cash</t>
        </is>
      </c>
    </row>
    <row r="5">
      <c r="A5" t="n">
        <v>0</v>
      </c>
      <c r="B5">
        <f>IF(A5=0,0,ROUNDUP(A5/4,0))</f>
        <v/>
      </c>
      <c r="C5">
        <f>IF(A5=0,"Pre-close","Y"&amp;B5&amp;" Q"&amp;(A5-(B5-1)*4))</f>
        <v/>
      </c>
      <c r="D5" s="14">
        <f>IF(A5=0,0,Assumptions!$D$6+IF(A5&gt;=1+Assumptions!$D$8,Assumptions!$D$7,0))</f>
        <v/>
      </c>
      <c r="E5" s="14" t="n">
        <v>0</v>
      </c>
      <c r="F5" s="14">
        <f>IF(OR(A5=0,A5&gt;Assumptions!$D$13),0,IF(A5&lt;=Assumptions!$D$12,Assumptions!$D$10,Assumptions!$D$11)*E5/4)-IF(Assumptions!$D$22=1,Assumptions!$D$21*(T5-Y5),0)</f>
        <v/>
      </c>
      <c r="G5" s="14">
        <f>IF(A5=1+Assumptions!$D$8,Assumptions!$D$7*Assumptions!$D$10*(Assumptions!$D$8/4)*(1+Assumptions!$D$14*(Assumptions!$D$8/4)/2),0)</f>
        <v/>
      </c>
      <c r="H5" s="14">
        <f>IF(A5=1,MIN(Assumptions!$D$15,Assumptions!$D$17*Assumptions!$D$6),IF(A5=1+Assumptions!$D$8,MIN(Assumptions!$D$15,Assumptions!$D$17*Assumptions!$D$9)-MIN(Assumptions!$D$15,Assumptions!$D$17*Assumptions!$D$6),0))</f>
        <v/>
      </c>
      <c r="I5" s="14">
        <f>F5+G5+H5</f>
        <v/>
      </c>
      <c r="J5" s="14">
        <f>Assumptions!$D$24/4*X5</f>
        <v/>
      </c>
      <c r="K5" s="14">
        <f>Assumptions!$D$25/4*X5</f>
        <v/>
      </c>
      <c r="L5" s="14">
        <f>Assumptions!$D$26/4*X5</f>
        <v/>
      </c>
      <c r="M5" s="14">
        <f>Assumptions!$D$27/4*X5</f>
        <v/>
      </c>
      <c r="N5" s="14">
        <f>Assumptions!$D$28/4*X5</f>
        <v/>
      </c>
      <c r="O5" s="14">
        <f>IF(A5=0,Assumptions!$D$16+Assumptions!$D$31+Assumptions!$D$32,IF(A5=1,Assumptions!$D$15-Assumptions!$D$16,0))</f>
        <v/>
      </c>
      <c r="P5" s="14">
        <f>Assumptions!$D$29/4*X5</f>
        <v/>
      </c>
      <c r="Q5" s="14">
        <f>SUM(J5:P5)+Z5</f>
        <v/>
      </c>
      <c r="R5" s="14">
        <f>I5-Q5</f>
        <v/>
      </c>
      <c r="S5" s="14">
        <f>R5</f>
        <v/>
      </c>
      <c r="T5" s="14">
        <f>IF(OR(A5=0,A5&gt;Assumptions!$D$12),0,D5*(1-Assumptions!$D$19)/Assumptions!$D$12+IF(A5=1+Assumptions!$D$8,Assumptions!$D$7*(1-Assumptions!$D$19)/Assumptions!$D$12*Assumptions!$D$8,0))+Y5</f>
        <v/>
      </c>
      <c r="U5" s="14" t="n">
        <v>0</v>
      </c>
      <c r="V5" s="14">
        <f>T5</f>
        <v/>
      </c>
      <c r="W5" s="14">
        <f>IF(OR(A5=0,A5&gt;Assumptions!$D$13),0,Assumptions!$D$18/4)</f>
        <v/>
      </c>
      <c r="X5" s="15">
        <f>IF(A5=0,0,IF(A5&gt;Assumptions!$D$12,Assumptions!$D$30,1))</f>
        <v/>
      </c>
      <c r="Y5" s="14">
        <f>IF(AND(A5&gt;=9,A5&lt;=Assumptions!$D$12),Assumptions!$D$20*Assumptions!$D$10*Assumptions!$D$9*Assumptions!$D$12/4/(Assumptions!$D$12-8),0)</f>
        <v/>
      </c>
      <c r="Z5" s="14">
        <f>IF(Assumptions!$D$22=1,0,Assumptions!$D$21*(T5-Y5+F5+G5+W5))</f>
        <v/>
      </c>
    </row>
    <row r="6">
      <c r="A6" t="n">
        <v>1</v>
      </c>
      <c r="B6">
        <f>IF(A6=0,0,ROUNDUP(A6/4,0))</f>
        <v/>
      </c>
      <c r="C6">
        <f>IF(A6=0,"Pre-close","Y"&amp;B6&amp;" Q"&amp;(A6-(B6-1)*4))</f>
        <v/>
      </c>
      <c r="D6" s="14">
        <f>IF(A6=0,0,Assumptions!$D$6+IF(A6&gt;=1+Assumptions!$D$8,Assumptions!$D$7,0))</f>
        <v/>
      </c>
      <c r="E6" s="14">
        <f>IF(A6&lt;=Assumptions!$D$12,D6,V5)</f>
        <v/>
      </c>
      <c r="F6" s="14">
        <f>IF(OR(A6=0,A6&gt;Assumptions!$D$13),0,IF(A6&lt;=Assumptions!$D$12,Assumptions!$D$10,Assumptions!$D$11)*E6/4)-IF(Assumptions!$D$22=1,Assumptions!$D$21*(T6-Y6),0)</f>
        <v/>
      </c>
      <c r="G6" s="14">
        <f>IF(A6=1+Assumptions!$D$8,Assumptions!$D$7*Assumptions!$D$10*(Assumptions!$D$8/4)*(1+Assumptions!$D$14*(Assumptions!$D$8/4)/2),0)</f>
        <v/>
      </c>
      <c r="H6" s="14">
        <f>IF(A6=1,MIN(Assumptions!$D$15,Assumptions!$D$17*Assumptions!$D$6),IF(A6=1+Assumptions!$D$8,MIN(Assumptions!$D$15,Assumptions!$D$17*Assumptions!$D$9)-MIN(Assumptions!$D$15,Assumptions!$D$17*Assumptions!$D$6),0))</f>
        <v/>
      </c>
      <c r="I6" s="14">
        <f>F6+G6+H6</f>
        <v/>
      </c>
      <c r="J6" s="14">
        <f>Assumptions!$D$24/4*X6</f>
        <v/>
      </c>
      <c r="K6" s="14">
        <f>Assumptions!$D$25/4*X6</f>
        <v/>
      </c>
      <c r="L6" s="14">
        <f>Assumptions!$D$26/4*X6</f>
        <v/>
      </c>
      <c r="M6" s="14">
        <f>Assumptions!$D$27/4*X6</f>
        <v/>
      </c>
      <c r="N6" s="14">
        <f>Assumptions!$D$28/4*X6</f>
        <v/>
      </c>
      <c r="O6" s="14">
        <f>IF(A6=0,Assumptions!$D$16+Assumptions!$D$31+Assumptions!$D$32,IF(A6=1,Assumptions!$D$15-Assumptions!$D$16,0))</f>
        <v/>
      </c>
      <c r="P6" s="14">
        <f>Assumptions!$D$29/4*X6</f>
        <v/>
      </c>
      <c r="Q6" s="14">
        <f>SUM(J6:P6)+Z6</f>
        <v/>
      </c>
      <c r="R6" s="14">
        <f>I6-Q6</f>
        <v/>
      </c>
      <c r="S6" s="14">
        <f>S5+R6</f>
        <v/>
      </c>
      <c r="T6" s="14">
        <f>IF(OR(A6=0,A6&gt;Assumptions!$D$12),0,D6*(1-Assumptions!$D$19)/Assumptions!$D$12+IF(A6=1+Assumptions!$D$8,Assumptions!$D$7*(1-Assumptions!$D$19)/Assumptions!$D$12*Assumptions!$D$8,0))+Y6</f>
        <v/>
      </c>
      <c r="U6" s="14">
        <f>IF(A6&gt;Assumptions!$D$12,V5*Assumptions!$D$23,0)</f>
        <v/>
      </c>
      <c r="V6" s="14">
        <f>V5*(1-IF(A6&gt;Assumptions!$D$12,Assumptions!$D$23,0))+T6</f>
        <v/>
      </c>
      <c r="W6" s="14">
        <f>IF(OR(A6=0,A6&gt;Assumptions!$D$13),0,Assumptions!$D$18/4)</f>
        <v/>
      </c>
      <c r="X6" s="15">
        <f>IF(A6=0,0,IF(A6&gt;Assumptions!$D$12,Assumptions!$D$30,1))</f>
        <v/>
      </c>
      <c r="Y6" s="14">
        <f>IF(AND(A6&gt;=9,A6&lt;=Assumptions!$D$12),Assumptions!$D$20*Assumptions!$D$10*Assumptions!$D$9*Assumptions!$D$12/4/(Assumptions!$D$12-8),0)</f>
        <v/>
      </c>
      <c r="Z6" s="14">
        <f>IF(Assumptions!$D$22=1,0,Assumptions!$D$21*(T6-Y6+F6+G6+W6))</f>
        <v/>
      </c>
    </row>
    <row r="7">
      <c r="A7" t="n">
        <v>2</v>
      </c>
      <c r="B7">
        <f>IF(A7=0,0,ROUNDUP(A7/4,0))</f>
        <v/>
      </c>
      <c r="C7">
        <f>IF(A7=0,"Pre-close","Y"&amp;B7&amp;" Q"&amp;(A7-(B7-1)*4))</f>
        <v/>
      </c>
      <c r="D7" s="14">
        <f>IF(A7=0,0,Assumptions!$D$6+IF(A7&gt;=1+Assumptions!$D$8,Assumptions!$D$7,0))</f>
        <v/>
      </c>
      <c r="E7" s="14">
        <f>IF(A7&lt;=Assumptions!$D$12,D7,V6)</f>
        <v/>
      </c>
      <c r="F7" s="14">
        <f>IF(OR(A7=0,A7&gt;Assumptions!$D$13),0,IF(A7&lt;=Assumptions!$D$12,Assumptions!$D$10,Assumptions!$D$11)*E7/4)-IF(Assumptions!$D$22=1,Assumptions!$D$21*(T7-Y7),0)</f>
        <v/>
      </c>
      <c r="G7" s="14">
        <f>IF(A7=1+Assumptions!$D$8,Assumptions!$D$7*Assumptions!$D$10*(Assumptions!$D$8/4)*(1+Assumptions!$D$14*(Assumptions!$D$8/4)/2),0)</f>
        <v/>
      </c>
      <c r="H7" s="14">
        <f>IF(A7=1,MIN(Assumptions!$D$15,Assumptions!$D$17*Assumptions!$D$6),IF(A7=1+Assumptions!$D$8,MIN(Assumptions!$D$15,Assumptions!$D$17*Assumptions!$D$9)-MIN(Assumptions!$D$15,Assumptions!$D$17*Assumptions!$D$6),0))</f>
        <v/>
      </c>
      <c r="I7" s="14">
        <f>F7+G7+H7</f>
        <v/>
      </c>
      <c r="J7" s="14">
        <f>Assumptions!$D$24/4*X7</f>
        <v/>
      </c>
      <c r="K7" s="14">
        <f>Assumptions!$D$25/4*X7</f>
        <v/>
      </c>
      <c r="L7" s="14">
        <f>Assumptions!$D$26/4*X7</f>
        <v/>
      </c>
      <c r="M7" s="14">
        <f>Assumptions!$D$27/4*X7</f>
        <v/>
      </c>
      <c r="N7" s="14">
        <f>Assumptions!$D$28/4*X7</f>
        <v/>
      </c>
      <c r="O7" s="14">
        <f>IF(A7=0,Assumptions!$D$16+Assumptions!$D$31+Assumptions!$D$32,IF(A7=1,Assumptions!$D$15-Assumptions!$D$16,0))</f>
        <v/>
      </c>
      <c r="P7" s="14">
        <f>Assumptions!$D$29/4*X7</f>
        <v/>
      </c>
      <c r="Q7" s="14">
        <f>SUM(J7:P7)+Z7</f>
        <v/>
      </c>
      <c r="R7" s="14">
        <f>I7-Q7</f>
        <v/>
      </c>
      <c r="S7" s="14">
        <f>S6+R7</f>
        <v/>
      </c>
      <c r="T7" s="14">
        <f>IF(OR(A7=0,A7&gt;Assumptions!$D$12),0,D7*(1-Assumptions!$D$19)/Assumptions!$D$12+IF(A7=1+Assumptions!$D$8,Assumptions!$D$7*(1-Assumptions!$D$19)/Assumptions!$D$12*Assumptions!$D$8,0))+Y7</f>
        <v/>
      </c>
      <c r="U7" s="14">
        <f>IF(A7&gt;Assumptions!$D$12,V6*Assumptions!$D$23,0)</f>
        <v/>
      </c>
      <c r="V7" s="14">
        <f>V6*(1-IF(A7&gt;Assumptions!$D$12,Assumptions!$D$23,0))+T7</f>
        <v/>
      </c>
      <c r="W7" s="14">
        <f>IF(OR(A7=0,A7&gt;Assumptions!$D$13),0,Assumptions!$D$18/4)</f>
        <v/>
      </c>
      <c r="X7" s="15">
        <f>IF(A7=0,0,IF(A7&gt;Assumptions!$D$12,Assumptions!$D$30,1))</f>
        <v/>
      </c>
      <c r="Y7" s="14">
        <f>IF(AND(A7&gt;=9,A7&lt;=Assumptions!$D$12),Assumptions!$D$20*Assumptions!$D$10*Assumptions!$D$9*Assumptions!$D$12/4/(Assumptions!$D$12-8),0)</f>
        <v/>
      </c>
      <c r="Z7" s="14">
        <f>IF(Assumptions!$D$22=1,0,Assumptions!$D$21*(T7-Y7+F7+G7+W7))</f>
        <v/>
      </c>
    </row>
    <row r="8">
      <c r="A8" t="n">
        <v>3</v>
      </c>
      <c r="B8">
        <f>IF(A8=0,0,ROUNDUP(A8/4,0))</f>
        <v/>
      </c>
      <c r="C8">
        <f>IF(A8=0,"Pre-close","Y"&amp;B8&amp;" Q"&amp;(A8-(B8-1)*4))</f>
        <v/>
      </c>
      <c r="D8" s="14">
        <f>IF(A8=0,0,Assumptions!$D$6+IF(A8&gt;=1+Assumptions!$D$8,Assumptions!$D$7,0))</f>
        <v/>
      </c>
      <c r="E8" s="14">
        <f>IF(A8&lt;=Assumptions!$D$12,D8,V7)</f>
        <v/>
      </c>
      <c r="F8" s="14">
        <f>IF(OR(A8=0,A8&gt;Assumptions!$D$13),0,IF(A8&lt;=Assumptions!$D$12,Assumptions!$D$10,Assumptions!$D$11)*E8/4)-IF(Assumptions!$D$22=1,Assumptions!$D$21*(T8-Y8),0)</f>
        <v/>
      </c>
      <c r="G8" s="14">
        <f>IF(A8=1+Assumptions!$D$8,Assumptions!$D$7*Assumptions!$D$10*(Assumptions!$D$8/4)*(1+Assumptions!$D$14*(Assumptions!$D$8/4)/2),0)</f>
        <v/>
      </c>
      <c r="H8" s="14">
        <f>IF(A8=1,MIN(Assumptions!$D$15,Assumptions!$D$17*Assumptions!$D$6),IF(A8=1+Assumptions!$D$8,MIN(Assumptions!$D$15,Assumptions!$D$17*Assumptions!$D$9)-MIN(Assumptions!$D$15,Assumptions!$D$17*Assumptions!$D$6),0))</f>
        <v/>
      </c>
      <c r="I8" s="14">
        <f>F8+G8+H8</f>
        <v/>
      </c>
      <c r="J8" s="14">
        <f>Assumptions!$D$24/4*X8</f>
        <v/>
      </c>
      <c r="K8" s="14">
        <f>Assumptions!$D$25/4*X8</f>
        <v/>
      </c>
      <c r="L8" s="14">
        <f>Assumptions!$D$26/4*X8</f>
        <v/>
      </c>
      <c r="M8" s="14">
        <f>Assumptions!$D$27/4*X8</f>
        <v/>
      </c>
      <c r="N8" s="14">
        <f>Assumptions!$D$28/4*X8</f>
        <v/>
      </c>
      <c r="O8" s="14">
        <f>IF(A8=0,Assumptions!$D$16+Assumptions!$D$31+Assumptions!$D$32,IF(A8=1,Assumptions!$D$15-Assumptions!$D$16,0))</f>
        <v/>
      </c>
      <c r="P8" s="14">
        <f>Assumptions!$D$29/4*X8</f>
        <v/>
      </c>
      <c r="Q8" s="14">
        <f>SUM(J8:P8)+Z8</f>
        <v/>
      </c>
      <c r="R8" s="14">
        <f>I8-Q8</f>
        <v/>
      </c>
      <c r="S8" s="14">
        <f>S7+R8</f>
        <v/>
      </c>
      <c r="T8" s="14">
        <f>IF(OR(A8=0,A8&gt;Assumptions!$D$12),0,D8*(1-Assumptions!$D$19)/Assumptions!$D$12+IF(A8=1+Assumptions!$D$8,Assumptions!$D$7*(1-Assumptions!$D$19)/Assumptions!$D$12*Assumptions!$D$8,0))+Y8</f>
        <v/>
      </c>
      <c r="U8" s="14">
        <f>IF(A8&gt;Assumptions!$D$12,V7*Assumptions!$D$23,0)</f>
        <v/>
      </c>
      <c r="V8" s="14">
        <f>V7*(1-IF(A8&gt;Assumptions!$D$12,Assumptions!$D$23,0))+T8</f>
        <v/>
      </c>
      <c r="W8" s="14">
        <f>IF(OR(A8=0,A8&gt;Assumptions!$D$13),0,Assumptions!$D$18/4)</f>
        <v/>
      </c>
      <c r="X8" s="15">
        <f>IF(A8=0,0,IF(A8&gt;Assumptions!$D$12,Assumptions!$D$30,1))</f>
        <v/>
      </c>
      <c r="Y8" s="14">
        <f>IF(AND(A8&gt;=9,A8&lt;=Assumptions!$D$12),Assumptions!$D$20*Assumptions!$D$10*Assumptions!$D$9*Assumptions!$D$12/4/(Assumptions!$D$12-8),0)</f>
        <v/>
      </c>
      <c r="Z8" s="14">
        <f>IF(Assumptions!$D$22=1,0,Assumptions!$D$21*(T8-Y8+F8+G8+W8))</f>
        <v/>
      </c>
    </row>
    <row r="9">
      <c r="A9" t="n">
        <v>4</v>
      </c>
      <c r="B9">
        <f>IF(A9=0,0,ROUNDUP(A9/4,0))</f>
        <v/>
      </c>
      <c r="C9">
        <f>IF(A9=0,"Pre-close","Y"&amp;B9&amp;" Q"&amp;(A9-(B9-1)*4))</f>
        <v/>
      </c>
      <c r="D9" s="14">
        <f>IF(A9=0,0,Assumptions!$D$6+IF(A9&gt;=1+Assumptions!$D$8,Assumptions!$D$7,0))</f>
        <v/>
      </c>
      <c r="E9" s="14">
        <f>IF(A9&lt;=Assumptions!$D$12,D9,V8)</f>
        <v/>
      </c>
      <c r="F9" s="14">
        <f>IF(OR(A9=0,A9&gt;Assumptions!$D$13),0,IF(A9&lt;=Assumptions!$D$12,Assumptions!$D$10,Assumptions!$D$11)*E9/4)-IF(Assumptions!$D$22=1,Assumptions!$D$21*(T9-Y9),0)</f>
        <v/>
      </c>
      <c r="G9" s="14">
        <f>IF(A9=1+Assumptions!$D$8,Assumptions!$D$7*Assumptions!$D$10*(Assumptions!$D$8/4)*(1+Assumptions!$D$14*(Assumptions!$D$8/4)/2),0)</f>
        <v/>
      </c>
      <c r="H9" s="14">
        <f>IF(A9=1,MIN(Assumptions!$D$15,Assumptions!$D$17*Assumptions!$D$6),IF(A9=1+Assumptions!$D$8,MIN(Assumptions!$D$15,Assumptions!$D$17*Assumptions!$D$9)-MIN(Assumptions!$D$15,Assumptions!$D$17*Assumptions!$D$6),0))</f>
        <v/>
      </c>
      <c r="I9" s="14">
        <f>F9+G9+H9</f>
        <v/>
      </c>
      <c r="J9" s="14">
        <f>Assumptions!$D$24/4*X9</f>
        <v/>
      </c>
      <c r="K9" s="14">
        <f>Assumptions!$D$25/4*X9</f>
        <v/>
      </c>
      <c r="L9" s="14">
        <f>Assumptions!$D$26/4*X9</f>
        <v/>
      </c>
      <c r="M9" s="14">
        <f>Assumptions!$D$27/4*X9</f>
        <v/>
      </c>
      <c r="N9" s="14">
        <f>Assumptions!$D$28/4*X9</f>
        <v/>
      </c>
      <c r="O9" s="14">
        <f>IF(A9=0,Assumptions!$D$16+Assumptions!$D$31+Assumptions!$D$32,IF(A9=1,Assumptions!$D$15-Assumptions!$D$16,0))</f>
        <v/>
      </c>
      <c r="P9" s="14">
        <f>Assumptions!$D$29/4*X9</f>
        <v/>
      </c>
      <c r="Q9" s="14">
        <f>SUM(J9:P9)+Z9</f>
        <v/>
      </c>
      <c r="R9" s="14">
        <f>I9-Q9</f>
        <v/>
      </c>
      <c r="S9" s="14">
        <f>S8+R9</f>
        <v/>
      </c>
      <c r="T9" s="14">
        <f>IF(OR(A9=0,A9&gt;Assumptions!$D$12),0,D9*(1-Assumptions!$D$19)/Assumptions!$D$12+IF(A9=1+Assumptions!$D$8,Assumptions!$D$7*(1-Assumptions!$D$19)/Assumptions!$D$12*Assumptions!$D$8,0))+Y9</f>
        <v/>
      </c>
      <c r="U9" s="14">
        <f>IF(A9&gt;Assumptions!$D$12,V8*Assumptions!$D$23,0)</f>
        <v/>
      </c>
      <c r="V9" s="14">
        <f>V8*(1-IF(A9&gt;Assumptions!$D$12,Assumptions!$D$23,0))+T9</f>
        <v/>
      </c>
      <c r="W9" s="14">
        <f>IF(OR(A9=0,A9&gt;Assumptions!$D$13),0,Assumptions!$D$18/4)</f>
        <v/>
      </c>
      <c r="X9" s="15">
        <f>IF(A9=0,0,IF(A9&gt;Assumptions!$D$12,Assumptions!$D$30,1))</f>
        <v/>
      </c>
      <c r="Y9" s="14">
        <f>IF(AND(A9&gt;=9,A9&lt;=Assumptions!$D$12),Assumptions!$D$20*Assumptions!$D$10*Assumptions!$D$9*Assumptions!$D$12/4/(Assumptions!$D$12-8),0)</f>
        <v/>
      </c>
      <c r="Z9" s="14">
        <f>IF(Assumptions!$D$22=1,0,Assumptions!$D$21*(T9-Y9+F9+G9+W9))</f>
        <v/>
      </c>
    </row>
    <row r="10">
      <c r="A10" t="n">
        <v>5</v>
      </c>
      <c r="B10">
        <f>IF(A10=0,0,ROUNDUP(A10/4,0))</f>
        <v/>
      </c>
      <c r="C10">
        <f>IF(A10=0,"Pre-close","Y"&amp;B10&amp;" Q"&amp;(A10-(B10-1)*4))</f>
        <v/>
      </c>
      <c r="D10" s="14">
        <f>IF(A10=0,0,Assumptions!$D$6+IF(A10&gt;=1+Assumptions!$D$8,Assumptions!$D$7,0))</f>
        <v/>
      </c>
      <c r="E10" s="14">
        <f>IF(A10&lt;=Assumptions!$D$12,D10,V9)</f>
        <v/>
      </c>
      <c r="F10" s="14">
        <f>IF(OR(A10=0,A10&gt;Assumptions!$D$13),0,IF(A10&lt;=Assumptions!$D$12,Assumptions!$D$10,Assumptions!$D$11)*E10/4)-IF(Assumptions!$D$22=1,Assumptions!$D$21*(T10-Y10),0)</f>
        <v/>
      </c>
      <c r="G10" s="14">
        <f>IF(A10=1+Assumptions!$D$8,Assumptions!$D$7*Assumptions!$D$10*(Assumptions!$D$8/4)*(1+Assumptions!$D$14*(Assumptions!$D$8/4)/2),0)</f>
        <v/>
      </c>
      <c r="H10" s="14">
        <f>IF(A10=1,MIN(Assumptions!$D$15,Assumptions!$D$17*Assumptions!$D$6),IF(A10=1+Assumptions!$D$8,MIN(Assumptions!$D$15,Assumptions!$D$17*Assumptions!$D$9)-MIN(Assumptions!$D$15,Assumptions!$D$17*Assumptions!$D$6),0))</f>
        <v/>
      </c>
      <c r="I10" s="14">
        <f>F10+G10+H10</f>
        <v/>
      </c>
      <c r="J10" s="14">
        <f>Assumptions!$D$24/4*X10</f>
        <v/>
      </c>
      <c r="K10" s="14">
        <f>Assumptions!$D$25/4*X10</f>
        <v/>
      </c>
      <c r="L10" s="14">
        <f>Assumptions!$D$26/4*X10</f>
        <v/>
      </c>
      <c r="M10" s="14">
        <f>Assumptions!$D$27/4*X10</f>
        <v/>
      </c>
      <c r="N10" s="14">
        <f>Assumptions!$D$28/4*X10</f>
        <v/>
      </c>
      <c r="O10" s="14">
        <f>IF(A10=0,Assumptions!$D$16+Assumptions!$D$31+Assumptions!$D$32,IF(A10=1,Assumptions!$D$15-Assumptions!$D$16,0))</f>
        <v/>
      </c>
      <c r="P10" s="14">
        <f>Assumptions!$D$29/4*X10</f>
        <v/>
      </c>
      <c r="Q10" s="14">
        <f>SUM(J10:P10)+Z10</f>
        <v/>
      </c>
      <c r="R10" s="14">
        <f>I10-Q10</f>
        <v/>
      </c>
      <c r="S10" s="14">
        <f>S9+R10</f>
        <v/>
      </c>
      <c r="T10" s="14">
        <f>IF(OR(A10=0,A10&gt;Assumptions!$D$12),0,D10*(1-Assumptions!$D$19)/Assumptions!$D$12+IF(A10=1+Assumptions!$D$8,Assumptions!$D$7*(1-Assumptions!$D$19)/Assumptions!$D$12*Assumptions!$D$8,0))+Y10</f>
        <v/>
      </c>
      <c r="U10" s="14">
        <f>IF(A10&gt;Assumptions!$D$12,V9*Assumptions!$D$23,0)</f>
        <v/>
      </c>
      <c r="V10" s="14">
        <f>V9*(1-IF(A10&gt;Assumptions!$D$12,Assumptions!$D$23,0))+T10</f>
        <v/>
      </c>
      <c r="W10" s="14">
        <f>IF(OR(A10=0,A10&gt;Assumptions!$D$13),0,Assumptions!$D$18/4)</f>
        <v/>
      </c>
      <c r="X10" s="15">
        <f>IF(A10=0,0,IF(A10&gt;Assumptions!$D$12,Assumptions!$D$30,1))</f>
        <v/>
      </c>
      <c r="Y10" s="14">
        <f>IF(AND(A10&gt;=9,A10&lt;=Assumptions!$D$12),Assumptions!$D$20*Assumptions!$D$10*Assumptions!$D$9*Assumptions!$D$12/4/(Assumptions!$D$12-8),0)</f>
        <v/>
      </c>
      <c r="Z10" s="14">
        <f>IF(Assumptions!$D$22=1,0,Assumptions!$D$21*(T10-Y10+F10+G10+W10))</f>
        <v/>
      </c>
    </row>
    <row r="11">
      <c r="A11" t="n">
        <v>6</v>
      </c>
      <c r="B11">
        <f>IF(A11=0,0,ROUNDUP(A11/4,0))</f>
        <v/>
      </c>
      <c r="C11">
        <f>IF(A11=0,"Pre-close","Y"&amp;B11&amp;" Q"&amp;(A11-(B11-1)*4))</f>
        <v/>
      </c>
      <c r="D11" s="14">
        <f>IF(A11=0,0,Assumptions!$D$6+IF(A11&gt;=1+Assumptions!$D$8,Assumptions!$D$7,0))</f>
        <v/>
      </c>
      <c r="E11" s="14">
        <f>IF(A11&lt;=Assumptions!$D$12,D11,V10)</f>
        <v/>
      </c>
      <c r="F11" s="14">
        <f>IF(OR(A11=0,A11&gt;Assumptions!$D$13),0,IF(A11&lt;=Assumptions!$D$12,Assumptions!$D$10,Assumptions!$D$11)*E11/4)-IF(Assumptions!$D$22=1,Assumptions!$D$21*(T11-Y11),0)</f>
        <v/>
      </c>
      <c r="G11" s="14">
        <f>IF(A11=1+Assumptions!$D$8,Assumptions!$D$7*Assumptions!$D$10*(Assumptions!$D$8/4)*(1+Assumptions!$D$14*(Assumptions!$D$8/4)/2),0)</f>
        <v/>
      </c>
      <c r="H11" s="14">
        <f>IF(A11=1,MIN(Assumptions!$D$15,Assumptions!$D$17*Assumptions!$D$6),IF(A11=1+Assumptions!$D$8,MIN(Assumptions!$D$15,Assumptions!$D$17*Assumptions!$D$9)-MIN(Assumptions!$D$15,Assumptions!$D$17*Assumptions!$D$6),0))</f>
        <v/>
      </c>
      <c r="I11" s="14">
        <f>F11+G11+H11</f>
        <v/>
      </c>
      <c r="J11" s="14">
        <f>Assumptions!$D$24/4*X11</f>
        <v/>
      </c>
      <c r="K11" s="14">
        <f>Assumptions!$D$25/4*X11</f>
        <v/>
      </c>
      <c r="L11" s="14">
        <f>Assumptions!$D$26/4*X11</f>
        <v/>
      </c>
      <c r="M11" s="14">
        <f>Assumptions!$D$27/4*X11</f>
        <v/>
      </c>
      <c r="N11" s="14">
        <f>Assumptions!$D$28/4*X11</f>
        <v/>
      </c>
      <c r="O11" s="14">
        <f>IF(A11=0,Assumptions!$D$16+Assumptions!$D$31+Assumptions!$D$32,IF(A11=1,Assumptions!$D$15-Assumptions!$D$16,0))</f>
        <v/>
      </c>
      <c r="P11" s="14">
        <f>Assumptions!$D$29/4*X11</f>
        <v/>
      </c>
      <c r="Q11" s="14">
        <f>SUM(J11:P11)+Z11</f>
        <v/>
      </c>
      <c r="R11" s="14">
        <f>I11-Q11</f>
        <v/>
      </c>
      <c r="S11" s="14">
        <f>S10+R11</f>
        <v/>
      </c>
      <c r="T11" s="14">
        <f>IF(OR(A11=0,A11&gt;Assumptions!$D$12),0,D11*(1-Assumptions!$D$19)/Assumptions!$D$12+IF(A11=1+Assumptions!$D$8,Assumptions!$D$7*(1-Assumptions!$D$19)/Assumptions!$D$12*Assumptions!$D$8,0))+Y11</f>
        <v/>
      </c>
      <c r="U11" s="14">
        <f>IF(A11&gt;Assumptions!$D$12,V10*Assumptions!$D$23,0)</f>
        <v/>
      </c>
      <c r="V11" s="14">
        <f>V10*(1-IF(A11&gt;Assumptions!$D$12,Assumptions!$D$23,0))+T11</f>
        <v/>
      </c>
      <c r="W11" s="14">
        <f>IF(OR(A11=0,A11&gt;Assumptions!$D$13),0,Assumptions!$D$18/4)</f>
        <v/>
      </c>
      <c r="X11" s="15">
        <f>IF(A11=0,0,IF(A11&gt;Assumptions!$D$12,Assumptions!$D$30,1))</f>
        <v/>
      </c>
      <c r="Y11" s="14">
        <f>IF(AND(A11&gt;=9,A11&lt;=Assumptions!$D$12),Assumptions!$D$20*Assumptions!$D$10*Assumptions!$D$9*Assumptions!$D$12/4/(Assumptions!$D$12-8),0)</f>
        <v/>
      </c>
      <c r="Z11" s="14">
        <f>IF(Assumptions!$D$22=1,0,Assumptions!$D$21*(T11-Y11+F11+G11+W11))</f>
        <v/>
      </c>
    </row>
    <row r="12">
      <c r="A12" t="n">
        <v>7</v>
      </c>
      <c r="B12">
        <f>IF(A12=0,0,ROUNDUP(A12/4,0))</f>
        <v/>
      </c>
      <c r="C12">
        <f>IF(A12=0,"Pre-close","Y"&amp;B12&amp;" Q"&amp;(A12-(B12-1)*4))</f>
        <v/>
      </c>
      <c r="D12" s="14">
        <f>IF(A12=0,0,Assumptions!$D$6+IF(A12&gt;=1+Assumptions!$D$8,Assumptions!$D$7,0))</f>
        <v/>
      </c>
      <c r="E12" s="14">
        <f>IF(A12&lt;=Assumptions!$D$12,D12,V11)</f>
        <v/>
      </c>
      <c r="F12" s="14">
        <f>IF(OR(A12=0,A12&gt;Assumptions!$D$13),0,IF(A12&lt;=Assumptions!$D$12,Assumptions!$D$10,Assumptions!$D$11)*E12/4)-IF(Assumptions!$D$22=1,Assumptions!$D$21*(T12-Y12),0)</f>
        <v/>
      </c>
      <c r="G12" s="14">
        <f>IF(A12=1+Assumptions!$D$8,Assumptions!$D$7*Assumptions!$D$10*(Assumptions!$D$8/4)*(1+Assumptions!$D$14*(Assumptions!$D$8/4)/2),0)</f>
        <v/>
      </c>
      <c r="H12" s="14">
        <f>IF(A12=1,MIN(Assumptions!$D$15,Assumptions!$D$17*Assumptions!$D$6),IF(A12=1+Assumptions!$D$8,MIN(Assumptions!$D$15,Assumptions!$D$17*Assumptions!$D$9)-MIN(Assumptions!$D$15,Assumptions!$D$17*Assumptions!$D$6),0))</f>
        <v/>
      </c>
      <c r="I12" s="14">
        <f>F12+G12+H12</f>
        <v/>
      </c>
      <c r="J12" s="14">
        <f>Assumptions!$D$24/4*X12</f>
        <v/>
      </c>
      <c r="K12" s="14">
        <f>Assumptions!$D$25/4*X12</f>
        <v/>
      </c>
      <c r="L12" s="14">
        <f>Assumptions!$D$26/4*X12</f>
        <v/>
      </c>
      <c r="M12" s="14">
        <f>Assumptions!$D$27/4*X12</f>
        <v/>
      </c>
      <c r="N12" s="14">
        <f>Assumptions!$D$28/4*X12</f>
        <v/>
      </c>
      <c r="O12" s="14">
        <f>IF(A12=0,Assumptions!$D$16+Assumptions!$D$31+Assumptions!$D$32,IF(A12=1,Assumptions!$D$15-Assumptions!$D$16,0))</f>
        <v/>
      </c>
      <c r="P12" s="14">
        <f>Assumptions!$D$29/4*X12</f>
        <v/>
      </c>
      <c r="Q12" s="14">
        <f>SUM(J12:P12)+Z12</f>
        <v/>
      </c>
      <c r="R12" s="14">
        <f>I12-Q12</f>
        <v/>
      </c>
      <c r="S12" s="14">
        <f>S11+R12</f>
        <v/>
      </c>
      <c r="T12" s="14">
        <f>IF(OR(A12=0,A12&gt;Assumptions!$D$12),0,D12*(1-Assumptions!$D$19)/Assumptions!$D$12+IF(A12=1+Assumptions!$D$8,Assumptions!$D$7*(1-Assumptions!$D$19)/Assumptions!$D$12*Assumptions!$D$8,0))+Y12</f>
        <v/>
      </c>
      <c r="U12" s="14">
        <f>IF(A12&gt;Assumptions!$D$12,V11*Assumptions!$D$23,0)</f>
        <v/>
      </c>
      <c r="V12" s="14">
        <f>V11*(1-IF(A12&gt;Assumptions!$D$12,Assumptions!$D$23,0))+T12</f>
        <v/>
      </c>
      <c r="W12" s="14">
        <f>IF(OR(A12=0,A12&gt;Assumptions!$D$13),0,Assumptions!$D$18/4)</f>
        <v/>
      </c>
      <c r="X12" s="15">
        <f>IF(A12=0,0,IF(A12&gt;Assumptions!$D$12,Assumptions!$D$30,1))</f>
        <v/>
      </c>
      <c r="Y12" s="14">
        <f>IF(AND(A12&gt;=9,A12&lt;=Assumptions!$D$12),Assumptions!$D$20*Assumptions!$D$10*Assumptions!$D$9*Assumptions!$D$12/4/(Assumptions!$D$12-8),0)</f>
        <v/>
      </c>
      <c r="Z12" s="14">
        <f>IF(Assumptions!$D$22=1,0,Assumptions!$D$21*(T12-Y12+F12+G12+W12))</f>
        <v/>
      </c>
    </row>
    <row r="13">
      <c r="A13" t="n">
        <v>8</v>
      </c>
      <c r="B13">
        <f>IF(A13=0,0,ROUNDUP(A13/4,0))</f>
        <v/>
      </c>
      <c r="C13">
        <f>IF(A13=0,"Pre-close","Y"&amp;B13&amp;" Q"&amp;(A13-(B13-1)*4))</f>
        <v/>
      </c>
      <c r="D13" s="14">
        <f>IF(A13=0,0,Assumptions!$D$6+IF(A13&gt;=1+Assumptions!$D$8,Assumptions!$D$7,0))</f>
        <v/>
      </c>
      <c r="E13" s="14">
        <f>IF(A13&lt;=Assumptions!$D$12,D13,V12)</f>
        <v/>
      </c>
      <c r="F13" s="14">
        <f>IF(OR(A13=0,A13&gt;Assumptions!$D$13),0,IF(A13&lt;=Assumptions!$D$12,Assumptions!$D$10,Assumptions!$D$11)*E13/4)-IF(Assumptions!$D$22=1,Assumptions!$D$21*(T13-Y13),0)</f>
        <v/>
      </c>
      <c r="G13" s="14">
        <f>IF(A13=1+Assumptions!$D$8,Assumptions!$D$7*Assumptions!$D$10*(Assumptions!$D$8/4)*(1+Assumptions!$D$14*(Assumptions!$D$8/4)/2),0)</f>
        <v/>
      </c>
      <c r="H13" s="14">
        <f>IF(A13=1,MIN(Assumptions!$D$15,Assumptions!$D$17*Assumptions!$D$6),IF(A13=1+Assumptions!$D$8,MIN(Assumptions!$D$15,Assumptions!$D$17*Assumptions!$D$9)-MIN(Assumptions!$D$15,Assumptions!$D$17*Assumptions!$D$6),0))</f>
        <v/>
      </c>
      <c r="I13" s="14">
        <f>F13+G13+H13</f>
        <v/>
      </c>
      <c r="J13" s="14">
        <f>Assumptions!$D$24/4*X13</f>
        <v/>
      </c>
      <c r="K13" s="14">
        <f>Assumptions!$D$25/4*X13</f>
        <v/>
      </c>
      <c r="L13" s="14">
        <f>Assumptions!$D$26/4*X13</f>
        <v/>
      </c>
      <c r="M13" s="14">
        <f>Assumptions!$D$27/4*X13</f>
        <v/>
      </c>
      <c r="N13" s="14">
        <f>Assumptions!$D$28/4*X13</f>
        <v/>
      </c>
      <c r="O13" s="14">
        <f>IF(A13=0,Assumptions!$D$16+Assumptions!$D$31+Assumptions!$D$32,IF(A13=1,Assumptions!$D$15-Assumptions!$D$16,0))</f>
        <v/>
      </c>
      <c r="P13" s="14">
        <f>Assumptions!$D$29/4*X13</f>
        <v/>
      </c>
      <c r="Q13" s="14">
        <f>SUM(J13:P13)+Z13</f>
        <v/>
      </c>
      <c r="R13" s="14">
        <f>I13-Q13</f>
        <v/>
      </c>
      <c r="S13" s="14">
        <f>S12+R13</f>
        <v/>
      </c>
      <c r="T13" s="14">
        <f>IF(OR(A13=0,A13&gt;Assumptions!$D$12),0,D13*(1-Assumptions!$D$19)/Assumptions!$D$12+IF(A13=1+Assumptions!$D$8,Assumptions!$D$7*(1-Assumptions!$D$19)/Assumptions!$D$12*Assumptions!$D$8,0))+Y13</f>
        <v/>
      </c>
      <c r="U13" s="14">
        <f>IF(A13&gt;Assumptions!$D$12,V12*Assumptions!$D$23,0)</f>
        <v/>
      </c>
      <c r="V13" s="14">
        <f>V12*(1-IF(A13&gt;Assumptions!$D$12,Assumptions!$D$23,0))+T13</f>
        <v/>
      </c>
      <c r="W13" s="14">
        <f>IF(OR(A13=0,A13&gt;Assumptions!$D$13),0,Assumptions!$D$18/4)</f>
        <v/>
      </c>
      <c r="X13" s="15">
        <f>IF(A13=0,0,IF(A13&gt;Assumptions!$D$12,Assumptions!$D$30,1))</f>
        <v/>
      </c>
      <c r="Y13" s="14">
        <f>IF(AND(A13&gt;=9,A13&lt;=Assumptions!$D$12),Assumptions!$D$20*Assumptions!$D$10*Assumptions!$D$9*Assumptions!$D$12/4/(Assumptions!$D$12-8),0)</f>
        <v/>
      </c>
      <c r="Z13" s="14">
        <f>IF(Assumptions!$D$22=1,0,Assumptions!$D$21*(T13-Y13+F13+G13+W13))</f>
        <v/>
      </c>
    </row>
    <row r="14">
      <c r="A14" t="n">
        <v>9</v>
      </c>
      <c r="B14">
        <f>IF(A14=0,0,ROUNDUP(A14/4,0))</f>
        <v/>
      </c>
      <c r="C14">
        <f>IF(A14=0,"Pre-close","Y"&amp;B14&amp;" Q"&amp;(A14-(B14-1)*4))</f>
        <v/>
      </c>
      <c r="D14" s="14">
        <f>IF(A14=0,0,Assumptions!$D$6+IF(A14&gt;=1+Assumptions!$D$8,Assumptions!$D$7,0))</f>
        <v/>
      </c>
      <c r="E14" s="14">
        <f>IF(A14&lt;=Assumptions!$D$12,D14,V13)</f>
        <v/>
      </c>
      <c r="F14" s="14">
        <f>IF(OR(A14=0,A14&gt;Assumptions!$D$13),0,IF(A14&lt;=Assumptions!$D$12,Assumptions!$D$10,Assumptions!$D$11)*E14/4)-IF(Assumptions!$D$22=1,Assumptions!$D$21*(T14-Y14),0)</f>
        <v/>
      </c>
      <c r="G14" s="14">
        <f>IF(A14=1+Assumptions!$D$8,Assumptions!$D$7*Assumptions!$D$10*(Assumptions!$D$8/4)*(1+Assumptions!$D$14*(Assumptions!$D$8/4)/2),0)</f>
        <v/>
      </c>
      <c r="H14" s="14">
        <f>IF(A14=1,MIN(Assumptions!$D$15,Assumptions!$D$17*Assumptions!$D$6),IF(A14=1+Assumptions!$D$8,MIN(Assumptions!$D$15,Assumptions!$D$17*Assumptions!$D$9)-MIN(Assumptions!$D$15,Assumptions!$D$17*Assumptions!$D$6),0))</f>
        <v/>
      </c>
      <c r="I14" s="14">
        <f>F14+G14+H14</f>
        <v/>
      </c>
      <c r="J14" s="14">
        <f>Assumptions!$D$24/4*X14</f>
        <v/>
      </c>
      <c r="K14" s="14">
        <f>Assumptions!$D$25/4*X14</f>
        <v/>
      </c>
      <c r="L14" s="14">
        <f>Assumptions!$D$26/4*X14</f>
        <v/>
      </c>
      <c r="M14" s="14">
        <f>Assumptions!$D$27/4*X14</f>
        <v/>
      </c>
      <c r="N14" s="14">
        <f>Assumptions!$D$28/4*X14</f>
        <v/>
      </c>
      <c r="O14" s="14">
        <f>IF(A14=0,Assumptions!$D$16+Assumptions!$D$31+Assumptions!$D$32,IF(A14=1,Assumptions!$D$15-Assumptions!$D$16,0))</f>
        <v/>
      </c>
      <c r="P14" s="14">
        <f>Assumptions!$D$29/4*X14</f>
        <v/>
      </c>
      <c r="Q14" s="14">
        <f>SUM(J14:P14)+Z14</f>
        <v/>
      </c>
      <c r="R14" s="14">
        <f>I14-Q14</f>
        <v/>
      </c>
      <c r="S14" s="14">
        <f>S13+R14</f>
        <v/>
      </c>
      <c r="T14" s="14">
        <f>IF(OR(A14=0,A14&gt;Assumptions!$D$12),0,D14*(1-Assumptions!$D$19)/Assumptions!$D$12+IF(A14=1+Assumptions!$D$8,Assumptions!$D$7*(1-Assumptions!$D$19)/Assumptions!$D$12*Assumptions!$D$8,0))+Y14</f>
        <v/>
      </c>
      <c r="U14" s="14">
        <f>IF(A14&gt;Assumptions!$D$12,V13*Assumptions!$D$23,0)</f>
        <v/>
      </c>
      <c r="V14" s="14">
        <f>V13*(1-IF(A14&gt;Assumptions!$D$12,Assumptions!$D$23,0))+T14</f>
        <v/>
      </c>
      <c r="W14" s="14">
        <f>IF(OR(A14=0,A14&gt;Assumptions!$D$13),0,Assumptions!$D$18/4)</f>
        <v/>
      </c>
      <c r="X14" s="15">
        <f>IF(A14=0,0,IF(A14&gt;Assumptions!$D$12,Assumptions!$D$30,1))</f>
        <v/>
      </c>
      <c r="Y14" s="14">
        <f>IF(AND(A14&gt;=9,A14&lt;=Assumptions!$D$12),Assumptions!$D$20*Assumptions!$D$10*Assumptions!$D$9*Assumptions!$D$12/4/(Assumptions!$D$12-8),0)</f>
        <v/>
      </c>
      <c r="Z14" s="14">
        <f>IF(Assumptions!$D$22=1,0,Assumptions!$D$21*(T14-Y14+F14+G14+W14))</f>
        <v/>
      </c>
    </row>
    <row r="15">
      <c r="A15" t="n">
        <v>10</v>
      </c>
      <c r="B15">
        <f>IF(A15=0,0,ROUNDUP(A15/4,0))</f>
        <v/>
      </c>
      <c r="C15">
        <f>IF(A15=0,"Pre-close","Y"&amp;B15&amp;" Q"&amp;(A15-(B15-1)*4))</f>
        <v/>
      </c>
      <c r="D15" s="14">
        <f>IF(A15=0,0,Assumptions!$D$6+IF(A15&gt;=1+Assumptions!$D$8,Assumptions!$D$7,0))</f>
        <v/>
      </c>
      <c r="E15" s="14">
        <f>IF(A15&lt;=Assumptions!$D$12,D15,V14)</f>
        <v/>
      </c>
      <c r="F15" s="14">
        <f>IF(OR(A15=0,A15&gt;Assumptions!$D$13),0,IF(A15&lt;=Assumptions!$D$12,Assumptions!$D$10,Assumptions!$D$11)*E15/4)-IF(Assumptions!$D$22=1,Assumptions!$D$21*(T15-Y15),0)</f>
        <v/>
      </c>
      <c r="G15" s="14">
        <f>IF(A15=1+Assumptions!$D$8,Assumptions!$D$7*Assumptions!$D$10*(Assumptions!$D$8/4)*(1+Assumptions!$D$14*(Assumptions!$D$8/4)/2),0)</f>
        <v/>
      </c>
      <c r="H15" s="14">
        <f>IF(A15=1,MIN(Assumptions!$D$15,Assumptions!$D$17*Assumptions!$D$6),IF(A15=1+Assumptions!$D$8,MIN(Assumptions!$D$15,Assumptions!$D$17*Assumptions!$D$9)-MIN(Assumptions!$D$15,Assumptions!$D$17*Assumptions!$D$6),0))</f>
        <v/>
      </c>
      <c r="I15" s="14">
        <f>F15+G15+H15</f>
        <v/>
      </c>
      <c r="J15" s="14">
        <f>Assumptions!$D$24/4*X15</f>
        <v/>
      </c>
      <c r="K15" s="14">
        <f>Assumptions!$D$25/4*X15</f>
        <v/>
      </c>
      <c r="L15" s="14">
        <f>Assumptions!$D$26/4*X15</f>
        <v/>
      </c>
      <c r="M15" s="14">
        <f>Assumptions!$D$27/4*X15</f>
        <v/>
      </c>
      <c r="N15" s="14">
        <f>Assumptions!$D$28/4*X15</f>
        <v/>
      </c>
      <c r="O15" s="14">
        <f>IF(A15=0,Assumptions!$D$16+Assumptions!$D$31+Assumptions!$D$32,IF(A15=1,Assumptions!$D$15-Assumptions!$D$16,0))</f>
        <v/>
      </c>
      <c r="P15" s="14">
        <f>Assumptions!$D$29/4*X15</f>
        <v/>
      </c>
      <c r="Q15" s="14">
        <f>SUM(J15:P15)+Z15</f>
        <v/>
      </c>
      <c r="R15" s="14">
        <f>I15-Q15</f>
        <v/>
      </c>
      <c r="S15" s="14">
        <f>S14+R15</f>
        <v/>
      </c>
      <c r="T15" s="14">
        <f>IF(OR(A15=0,A15&gt;Assumptions!$D$12),0,D15*(1-Assumptions!$D$19)/Assumptions!$D$12+IF(A15=1+Assumptions!$D$8,Assumptions!$D$7*(1-Assumptions!$D$19)/Assumptions!$D$12*Assumptions!$D$8,0))+Y15</f>
        <v/>
      </c>
      <c r="U15" s="14">
        <f>IF(A15&gt;Assumptions!$D$12,V14*Assumptions!$D$23,0)</f>
        <v/>
      </c>
      <c r="V15" s="14">
        <f>V14*(1-IF(A15&gt;Assumptions!$D$12,Assumptions!$D$23,0))+T15</f>
        <v/>
      </c>
      <c r="W15" s="14">
        <f>IF(OR(A15=0,A15&gt;Assumptions!$D$13),0,Assumptions!$D$18/4)</f>
        <v/>
      </c>
      <c r="X15" s="15">
        <f>IF(A15=0,0,IF(A15&gt;Assumptions!$D$12,Assumptions!$D$30,1))</f>
        <v/>
      </c>
      <c r="Y15" s="14">
        <f>IF(AND(A15&gt;=9,A15&lt;=Assumptions!$D$12),Assumptions!$D$20*Assumptions!$D$10*Assumptions!$D$9*Assumptions!$D$12/4/(Assumptions!$D$12-8),0)</f>
        <v/>
      </c>
      <c r="Z15" s="14">
        <f>IF(Assumptions!$D$22=1,0,Assumptions!$D$21*(T15-Y15+F15+G15+W15))</f>
        <v/>
      </c>
    </row>
    <row r="16">
      <c r="A16" t="n">
        <v>11</v>
      </c>
      <c r="B16">
        <f>IF(A16=0,0,ROUNDUP(A16/4,0))</f>
        <v/>
      </c>
      <c r="C16">
        <f>IF(A16=0,"Pre-close","Y"&amp;B16&amp;" Q"&amp;(A16-(B16-1)*4))</f>
        <v/>
      </c>
      <c r="D16" s="14">
        <f>IF(A16=0,0,Assumptions!$D$6+IF(A16&gt;=1+Assumptions!$D$8,Assumptions!$D$7,0))</f>
        <v/>
      </c>
      <c r="E16" s="14">
        <f>IF(A16&lt;=Assumptions!$D$12,D16,V15)</f>
        <v/>
      </c>
      <c r="F16" s="14">
        <f>IF(OR(A16=0,A16&gt;Assumptions!$D$13),0,IF(A16&lt;=Assumptions!$D$12,Assumptions!$D$10,Assumptions!$D$11)*E16/4)-IF(Assumptions!$D$22=1,Assumptions!$D$21*(T16-Y16),0)</f>
        <v/>
      </c>
      <c r="G16" s="14">
        <f>IF(A16=1+Assumptions!$D$8,Assumptions!$D$7*Assumptions!$D$10*(Assumptions!$D$8/4)*(1+Assumptions!$D$14*(Assumptions!$D$8/4)/2),0)</f>
        <v/>
      </c>
      <c r="H16" s="14">
        <f>IF(A16=1,MIN(Assumptions!$D$15,Assumptions!$D$17*Assumptions!$D$6),IF(A16=1+Assumptions!$D$8,MIN(Assumptions!$D$15,Assumptions!$D$17*Assumptions!$D$9)-MIN(Assumptions!$D$15,Assumptions!$D$17*Assumptions!$D$6),0))</f>
        <v/>
      </c>
      <c r="I16" s="14">
        <f>F16+G16+H16</f>
        <v/>
      </c>
      <c r="J16" s="14">
        <f>Assumptions!$D$24/4*X16</f>
        <v/>
      </c>
      <c r="K16" s="14">
        <f>Assumptions!$D$25/4*X16</f>
        <v/>
      </c>
      <c r="L16" s="14">
        <f>Assumptions!$D$26/4*X16</f>
        <v/>
      </c>
      <c r="M16" s="14">
        <f>Assumptions!$D$27/4*X16</f>
        <v/>
      </c>
      <c r="N16" s="14">
        <f>Assumptions!$D$28/4*X16</f>
        <v/>
      </c>
      <c r="O16" s="14">
        <f>IF(A16=0,Assumptions!$D$16+Assumptions!$D$31+Assumptions!$D$32,IF(A16=1,Assumptions!$D$15-Assumptions!$D$16,0))</f>
        <v/>
      </c>
      <c r="P16" s="14">
        <f>Assumptions!$D$29/4*X16</f>
        <v/>
      </c>
      <c r="Q16" s="14">
        <f>SUM(J16:P16)+Z16</f>
        <v/>
      </c>
      <c r="R16" s="14">
        <f>I16-Q16</f>
        <v/>
      </c>
      <c r="S16" s="14">
        <f>S15+R16</f>
        <v/>
      </c>
      <c r="T16" s="14">
        <f>IF(OR(A16=0,A16&gt;Assumptions!$D$12),0,D16*(1-Assumptions!$D$19)/Assumptions!$D$12+IF(A16=1+Assumptions!$D$8,Assumptions!$D$7*(1-Assumptions!$D$19)/Assumptions!$D$12*Assumptions!$D$8,0))+Y16</f>
        <v/>
      </c>
      <c r="U16" s="14">
        <f>IF(A16&gt;Assumptions!$D$12,V15*Assumptions!$D$23,0)</f>
        <v/>
      </c>
      <c r="V16" s="14">
        <f>V15*(1-IF(A16&gt;Assumptions!$D$12,Assumptions!$D$23,0))+T16</f>
        <v/>
      </c>
      <c r="W16" s="14">
        <f>IF(OR(A16=0,A16&gt;Assumptions!$D$13),0,Assumptions!$D$18/4)</f>
        <v/>
      </c>
      <c r="X16" s="15">
        <f>IF(A16=0,0,IF(A16&gt;Assumptions!$D$12,Assumptions!$D$30,1))</f>
        <v/>
      </c>
      <c r="Y16" s="14">
        <f>IF(AND(A16&gt;=9,A16&lt;=Assumptions!$D$12),Assumptions!$D$20*Assumptions!$D$10*Assumptions!$D$9*Assumptions!$D$12/4/(Assumptions!$D$12-8),0)</f>
        <v/>
      </c>
      <c r="Z16" s="14">
        <f>IF(Assumptions!$D$22=1,0,Assumptions!$D$21*(T16-Y16+F16+G16+W16))</f>
        <v/>
      </c>
    </row>
    <row r="17">
      <c r="A17" t="n">
        <v>12</v>
      </c>
      <c r="B17">
        <f>IF(A17=0,0,ROUNDUP(A17/4,0))</f>
        <v/>
      </c>
      <c r="C17">
        <f>IF(A17=0,"Pre-close","Y"&amp;B17&amp;" Q"&amp;(A17-(B17-1)*4))</f>
        <v/>
      </c>
      <c r="D17" s="14">
        <f>IF(A17=0,0,Assumptions!$D$6+IF(A17&gt;=1+Assumptions!$D$8,Assumptions!$D$7,0))</f>
        <v/>
      </c>
      <c r="E17" s="14">
        <f>IF(A17&lt;=Assumptions!$D$12,D17,V16)</f>
        <v/>
      </c>
      <c r="F17" s="14">
        <f>IF(OR(A17=0,A17&gt;Assumptions!$D$13),0,IF(A17&lt;=Assumptions!$D$12,Assumptions!$D$10,Assumptions!$D$11)*E17/4)-IF(Assumptions!$D$22=1,Assumptions!$D$21*(T17-Y17),0)</f>
        <v/>
      </c>
      <c r="G17" s="14">
        <f>IF(A17=1+Assumptions!$D$8,Assumptions!$D$7*Assumptions!$D$10*(Assumptions!$D$8/4)*(1+Assumptions!$D$14*(Assumptions!$D$8/4)/2),0)</f>
        <v/>
      </c>
      <c r="H17" s="14">
        <f>IF(A17=1,MIN(Assumptions!$D$15,Assumptions!$D$17*Assumptions!$D$6),IF(A17=1+Assumptions!$D$8,MIN(Assumptions!$D$15,Assumptions!$D$17*Assumptions!$D$9)-MIN(Assumptions!$D$15,Assumptions!$D$17*Assumptions!$D$6),0))</f>
        <v/>
      </c>
      <c r="I17" s="14">
        <f>F17+G17+H17</f>
        <v/>
      </c>
      <c r="J17" s="14">
        <f>Assumptions!$D$24/4*X17</f>
        <v/>
      </c>
      <c r="K17" s="14">
        <f>Assumptions!$D$25/4*X17</f>
        <v/>
      </c>
      <c r="L17" s="14">
        <f>Assumptions!$D$26/4*X17</f>
        <v/>
      </c>
      <c r="M17" s="14">
        <f>Assumptions!$D$27/4*X17</f>
        <v/>
      </c>
      <c r="N17" s="14">
        <f>Assumptions!$D$28/4*X17</f>
        <v/>
      </c>
      <c r="O17" s="14">
        <f>IF(A17=0,Assumptions!$D$16+Assumptions!$D$31+Assumptions!$D$32,IF(A17=1,Assumptions!$D$15-Assumptions!$D$16,0))</f>
        <v/>
      </c>
      <c r="P17" s="14">
        <f>Assumptions!$D$29/4*X17</f>
        <v/>
      </c>
      <c r="Q17" s="14">
        <f>SUM(J17:P17)+Z17</f>
        <v/>
      </c>
      <c r="R17" s="14">
        <f>I17-Q17</f>
        <v/>
      </c>
      <c r="S17" s="14">
        <f>S16+R17</f>
        <v/>
      </c>
      <c r="T17" s="14">
        <f>IF(OR(A17=0,A17&gt;Assumptions!$D$12),0,D17*(1-Assumptions!$D$19)/Assumptions!$D$12+IF(A17=1+Assumptions!$D$8,Assumptions!$D$7*(1-Assumptions!$D$19)/Assumptions!$D$12*Assumptions!$D$8,0))+Y17</f>
        <v/>
      </c>
      <c r="U17" s="14">
        <f>IF(A17&gt;Assumptions!$D$12,V16*Assumptions!$D$23,0)</f>
        <v/>
      </c>
      <c r="V17" s="14">
        <f>V16*(1-IF(A17&gt;Assumptions!$D$12,Assumptions!$D$23,0))+T17</f>
        <v/>
      </c>
      <c r="W17" s="14">
        <f>IF(OR(A17=0,A17&gt;Assumptions!$D$13),0,Assumptions!$D$18/4)</f>
        <v/>
      </c>
      <c r="X17" s="15">
        <f>IF(A17=0,0,IF(A17&gt;Assumptions!$D$12,Assumptions!$D$30,1))</f>
        <v/>
      </c>
      <c r="Y17" s="14">
        <f>IF(AND(A17&gt;=9,A17&lt;=Assumptions!$D$12),Assumptions!$D$20*Assumptions!$D$10*Assumptions!$D$9*Assumptions!$D$12/4/(Assumptions!$D$12-8),0)</f>
        <v/>
      </c>
      <c r="Z17" s="14">
        <f>IF(Assumptions!$D$22=1,0,Assumptions!$D$21*(T17-Y17+F17+G17+W17))</f>
        <v/>
      </c>
    </row>
    <row r="18">
      <c r="A18" t="n">
        <v>13</v>
      </c>
      <c r="B18">
        <f>IF(A18=0,0,ROUNDUP(A18/4,0))</f>
        <v/>
      </c>
      <c r="C18">
        <f>IF(A18=0,"Pre-close","Y"&amp;B18&amp;" Q"&amp;(A18-(B18-1)*4))</f>
        <v/>
      </c>
      <c r="D18" s="14">
        <f>IF(A18=0,0,Assumptions!$D$6+IF(A18&gt;=1+Assumptions!$D$8,Assumptions!$D$7,0))</f>
        <v/>
      </c>
      <c r="E18" s="14">
        <f>IF(A18&lt;=Assumptions!$D$12,D18,V17)</f>
        <v/>
      </c>
      <c r="F18" s="14">
        <f>IF(OR(A18=0,A18&gt;Assumptions!$D$13),0,IF(A18&lt;=Assumptions!$D$12,Assumptions!$D$10,Assumptions!$D$11)*E18/4)-IF(Assumptions!$D$22=1,Assumptions!$D$21*(T18-Y18),0)</f>
        <v/>
      </c>
      <c r="G18" s="14">
        <f>IF(A18=1+Assumptions!$D$8,Assumptions!$D$7*Assumptions!$D$10*(Assumptions!$D$8/4)*(1+Assumptions!$D$14*(Assumptions!$D$8/4)/2),0)</f>
        <v/>
      </c>
      <c r="H18" s="14">
        <f>IF(A18=1,MIN(Assumptions!$D$15,Assumptions!$D$17*Assumptions!$D$6),IF(A18=1+Assumptions!$D$8,MIN(Assumptions!$D$15,Assumptions!$D$17*Assumptions!$D$9)-MIN(Assumptions!$D$15,Assumptions!$D$17*Assumptions!$D$6),0))</f>
        <v/>
      </c>
      <c r="I18" s="14">
        <f>F18+G18+H18</f>
        <v/>
      </c>
      <c r="J18" s="14">
        <f>Assumptions!$D$24/4*X18</f>
        <v/>
      </c>
      <c r="K18" s="14">
        <f>Assumptions!$D$25/4*X18</f>
        <v/>
      </c>
      <c r="L18" s="14">
        <f>Assumptions!$D$26/4*X18</f>
        <v/>
      </c>
      <c r="M18" s="14">
        <f>Assumptions!$D$27/4*X18</f>
        <v/>
      </c>
      <c r="N18" s="14">
        <f>Assumptions!$D$28/4*X18</f>
        <v/>
      </c>
      <c r="O18" s="14">
        <f>IF(A18=0,Assumptions!$D$16+Assumptions!$D$31+Assumptions!$D$32,IF(A18=1,Assumptions!$D$15-Assumptions!$D$16,0))</f>
        <v/>
      </c>
      <c r="P18" s="14">
        <f>Assumptions!$D$29/4*X18</f>
        <v/>
      </c>
      <c r="Q18" s="14">
        <f>SUM(J18:P18)+Z18</f>
        <v/>
      </c>
      <c r="R18" s="14">
        <f>I18-Q18</f>
        <v/>
      </c>
      <c r="S18" s="14">
        <f>S17+R18</f>
        <v/>
      </c>
      <c r="T18" s="14">
        <f>IF(OR(A18=0,A18&gt;Assumptions!$D$12),0,D18*(1-Assumptions!$D$19)/Assumptions!$D$12+IF(A18=1+Assumptions!$D$8,Assumptions!$D$7*(1-Assumptions!$D$19)/Assumptions!$D$12*Assumptions!$D$8,0))+Y18</f>
        <v/>
      </c>
      <c r="U18" s="14">
        <f>IF(A18&gt;Assumptions!$D$12,V17*Assumptions!$D$23,0)</f>
        <v/>
      </c>
      <c r="V18" s="14">
        <f>V17*(1-IF(A18&gt;Assumptions!$D$12,Assumptions!$D$23,0))+T18</f>
        <v/>
      </c>
      <c r="W18" s="14">
        <f>IF(OR(A18=0,A18&gt;Assumptions!$D$13),0,Assumptions!$D$18/4)</f>
        <v/>
      </c>
      <c r="X18" s="15">
        <f>IF(A18=0,0,IF(A18&gt;Assumptions!$D$12,Assumptions!$D$30,1))</f>
        <v/>
      </c>
      <c r="Y18" s="14">
        <f>IF(AND(A18&gt;=9,A18&lt;=Assumptions!$D$12),Assumptions!$D$20*Assumptions!$D$10*Assumptions!$D$9*Assumptions!$D$12/4/(Assumptions!$D$12-8),0)</f>
        <v/>
      </c>
      <c r="Z18" s="14">
        <f>IF(Assumptions!$D$22=1,0,Assumptions!$D$21*(T18-Y18+F18+G18+W18))</f>
        <v/>
      </c>
    </row>
    <row r="19">
      <c r="A19" t="n">
        <v>14</v>
      </c>
      <c r="B19">
        <f>IF(A19=0,0,ROUNDUP(A19/4,0))</f>
        <v/>
      </c>
      <c r="C19">
        <f>IF(A19=0,"Pre-close","Y"&amp;B19&amp;" Q"&amp;(A19-(B19-1)*4))</f>
        <v/>
      </c>
      <c r="D19" s="14">
        <f>IF(A19=0,0,Assumptions!$D$6+IF(A19&gt;=1+Assumptions!$D$8,Assumptions!$D$7,0))</f>
        <v/>
      </c>
      <c r="E19" s="14">
        <f>IF(A19&lt;=Assumptions!$D$12,D19,V18)</f>
        <v/>
      </c>
      <c r="F19" s="14">
        <f>IF(OR(A19=0,A19&gt;Assumptions!$D$13),0,IF(A19&lt;=Assumptions!$D$12,Assumptions!$D$10,Assumptions!$D$11)*E19/4)-IF(Assumptions!$D$22=1,Assumptions!$D$21*(T19-Y19),0)</f>
        <v/>
      </c>
      <c r="G19" s="14">
        <f>IF(A19=1+Assumptions!$D$8,Assumptions!$D$7*Assumptions!$D$10*(Assumptions!$D$8/4)*(1+Assumptions!$D$14*(Assumptions!$D$8/4)/2),0)</f>
        <v/>
      </c>
      <c r="H19" s="14">
        <f>IF(A19=1,MIN(Assumptions!$D$15,Assumptions!$D$17*Assumptions!$D$6),IF(A19=1+Assumptions!$D$8,MIN(Assumptions!$D$15,Assumptions!$D$17*Assumptions!$D$9)-MIN(Assumptions!$D$15,Assumptions!$D$17*Assumptions!$D$6),0))</f>
        <v/>
      </c>
      <c r="I19" s="14">
        <f>F19+G19+H19</f>
        <v/>
      </c>
      <c r="J19" s="14">
        <f>Assumptions!$D$24/4*X19</f>
        <v/>
      </c>
      <c r="K19" s="14">
        <f>Assumptions!$D$25/4*X19</f>
        <v/>
      </c>
      <c r="L19" s="14">
        <f>Assumptions!$D$26/4*X19</f>
        <v/>
      </c>
      <c r="M19" s="14">
        <f>Assumptions!$D$27/4*X19</f>
        <v/>
      </c>
      <c r="N19" s="14">
        <f>Assumptions!$D$28/4*X19</f>
        <v/>
      </c>
      <c r="O19" s="14">
        <f>IF(A19=0,Assumptions!$D$16+Assumptions!$D$31+Assumptions!$D$32,IF(A19=1,Assumptions!$D$15-Assumptions!$D$16,0))</f>
        <v/>
      </c>
      <c r="P19" s="14">
        <f>Assumptions!$D$29/4*X19</f>
        <v/>
      </c>
      <c r="Q19" s="14">
        <f>SUM(J19:P19)+Z19</f>
        <v/>
      </c>
      <c r="R19" s="14">
        <f>I19-Q19</f>
        <v/>
      </c>
      <c r="S19" s="14">
        <f>S18+R19</f>
        <v/>
      </c>
      <c r="T19" s="14">
        <f>IF(OR(A19=0,A19&gt;Assumptions!$D$12),0,D19*(1-Assumptions!$D$19)/Assumptions!$D$12+IF(A19=1+Assumptions!$D$8,Assumptions!$D$7*(1-Assumptions!$D$19)/Assumptions!$D$12*Assumptions!$D$8,0))+Y19</f>
        <v/>
      </c>
      <c r="U19" s="14">
        <f>IF(A19&gt;Assumptions!$D$12,V18*Assumptions!$D$23,0)</f>
        <v/>
      </c>
      <c r="V19" s="14">
        <f>V18*(1-IF(A19&gt;Assumptions!$D$12,Assumptions!$D$23,0))+T19</f>
        <v/>
      </c>
      <c r="W19" s="14">
        <f>IF(OR(A19=0,A19&gt;Assumptions!$D$13),0,Assumptions!$D$18/4)</f>
        <v/>
      </c>
      <c r="X19" s="15">
        <f>IF(A19=0,0,IF(A19&gt;Assumptions!$D$12,Assumptions!$D$30,1))</f>
        <v/>
      </c>
      <c r="Y19" s="14">
        <f>IF(AND(A19&gt;=9,A19&lt;=Assumptions!$D$12),Assumptions!$D$20*Assumptions!$D$10*Assumptions!$D$9*Assumptions!$D$12/4/(Assumptions!$D$12-8),0)</f>
        <v/>
      </c>
      <c r="Z19" s="14">
        <f>IF(Assumptions!$D$22=1,0,Assumptions!$D$21*(T19-Y19+F19+G19+W19))</f>
        <v/>
      </c>
    </row>
    <row r="20">
      <c r="A20" t="n">
        <v>15</v>
      </c>
      <c r="B20">
        <f>IF(A20=0,0,ROUNDUP(A20/4,0))</f>
        <v/>
      </c>
      <c r="C20">
        <f>IF(A20=0,"Pre-close","Y"&amp;B20&amp;" Q"&amp;(A20-(B20-1)*4))</f>
        <v/>
      </c>
      <c r="D20" s="14">
        <f>IF(A20=0,0,Assumptions!$D$6+IF(A20&gt;=1+Assumptions!$D$8,Assumptions!$D$7,0))</f>
        <v/>
      </c>
      <c r="E20" s="14">
        <f>IF(A20&lt;=Assumptions!$D$12,D20,V19)</f>
        <v/>
      </c>
      <c r="F20" s="14">
        <f>IF(OR(A20=0,A20&gt;Assumptions!$D$13),0,IF(A20&lt;=Assumptions!$D$12,Assumptions!$D$10,Assumptions!$D$11)*E20/4)-IF(Assumptions!$D$22=1,Assumptions!$D$21*(T20-Y20),0)</f>
        <v/>
      </c>
      <c r="G20" s="14">
        <f>IF(A20=1+Assumptions!$D$8,Assumptions!$D$7*Assumptions!$D$10*(Assumptions!$D$8/4)*(1+Assumptions!$D$14*(Assumptions!$D$8/4)/2),0)</f>
        <v/>
      </c>
      <c r="H20" s="14">
        <f>IF(A20=1,MIN(Assumptions!$D$15,Assumptions!$D$17*Assumptions!$D$6),IF(A20=1+Assumptions!$D$8,MIN(Assumptions!$D$15,Assumptions!$D$17*Assumptions!$D$9)-MIN(Assumptions!$D$15,Assumptions!$D$17*Assumptions!$D$6),0))</f>
        <v/>
      </c>
      <c r="I20" s="14">
        <f>F20+G20+H20</f>
        <v/>
      </c>
      <c r="J20" s="14">
        <f>Assumptions!$D$24/4*X20</f>
        <v/>
      </c>
      <c r="K20" s="14">
        <f>Assumptions!$D$25/4*X20</f>
        <v/>
      </c>
      <c r="L20" s="14">
        <f>Assumptions!$D$26/4*X20</f>
        <v/>
      </c>
      <c r="M20" s="14">
        <f>Assumptions!$D$27/4*X20</f>
        <v/>
      </c>
      <c r="N20" s="14">
        <f>Assumptions!$D$28/4*X20</f>
        <v/>
      </c>
      <c r="O20" s="14">
        <f>IF(A20=0,Assumptions!$D$16+Assumptions!$D$31+Assumptions!$D$32,IF(A20=1,Assumptions!$D$15-Assumptions!$D$16,0))</f>
        <v/>
      </c>
      <c r="P20" s="14">
        <f>Assumptions!$D$29/4*X20</f>
        <v/>
      </c>
      <c r="Q20" s="14">
        <f>SUM(J20:P20)+Z20</f>
        <v/>
      </c>
      <c r="R20" s="14">
        <f>I20-Q20</f>
        <v/>
      </c>
      <c r="S20" s="14">
        <f>S19+R20</f>
        <v/>
      </c>
      <c r="T20" s="14">
        <f>IF(OR(A20=0,A20&gt;Assumptions!$D$12),0,D20*(1-Assumptions!$D$19)/Assumptions!$D$12+IF(A20=1+Assumptions!$D$8,Assumptions!$D$7*(1-Assumptions!$D$19)/Assumptions!$D$12*Assumptions!$D$8,0))+Y20</f>
        <v/>
      </c>
      <c r="U20" s="14">
        <f>IF(A20&gt;Assumptions!$D$12,V19*Assumptions!$D$23,0)</f>
        <v/>
      </c>
      <c r="V20" s="14">
        <f>V19*(1-IF(A20&gt;Assumptions!$D$12,Assumptions!$D$23,0))+T20</f>
        <v/>
      </c>
      <c r="W20" s="14">
        <f>IF(OR(A20=0,A20&gt;Assumptions!$D$13),0,Assumptions!$D$18/4)</f>
        <v/>
      </c>
      <c r="X20" s="15">
        <f>IF(A20=0,0,IF(A20&gt;Assumptions!$D$12,Assumptions!$D$30,1))</f>
        <v/>
      </c>
      <c r="Y20" s="14">
        <f>IF(AND(A20&gt;=9,A20&lt;=Assumptions!$D$12),Assumptions!$D$20*Assumptions!$D$10*Assumptions!$D$9*Assumptions!$D$12/4/(Assumptions!$D$12-8),0)</f>
        <v/>
      </c>
      <c r="Z20" s="14">
        <f>IF(Assumptions!$D$22=1,0,Assumptions!$D$21*(T20-Y20+F20+G20+W20))</f>
        <v/>
      </c>
    </row>
    <row r="21">
      <c r="A21" t="n">
        <v>16</v>
      </c>
      <c r="B21">
        <f>IF(A21=0,0,ROUNDUP(A21/4,0))</f>
        <v/>
      </c>
      <c r="C21">
        <f>IF(A21=0,"Pre-close","Y"&amp;B21&amp;" Q"&amp;(A21-(B21-1)*4))</f>
        <v/>
      </c>
      <c r="D21" s="14">
        <f>IF(A21=0,0,Assumptions!$D$6+IF(A21&gt;=1+Assumptions!$D$8,Assumptions!$D$7,0))</f>
        <v/>
      </c>
      <c r="E21" s="14">
        <f>IF(A21&lt;=Assumptions!$D$12,D21,V20)</f>
        <v/>
      </c>
      <c r="F21" s="14">
        <f>IF(OR(A21=0,A21&gt;Assumptions!$D$13),0,IF(A21&lt;=Assumptions!$D$12,Assumptions!$D$10,Assumptions!$D$11)*E21/4)-IF(Assumptions!$D$22=1,Assumptions!$D$21*(T21-Y21),0)</f>
        <v/>
      </c>
      <c r="G21" s="14">
        <f>IF(A21=1+Assumptions!$D$8,Assumptions!$D$7*Assumptions!$D$10*(Assumptions!$D$8/4)*(1+Assumptions!$D$14*(Assumptions!$D$8/4)/2),0)</f>
        <v/>
      </c>
      <c r="H21" s="14">
        <f>IF(A21=1,MIN(Assumptions!$D$15,Assumptions!$D$17*Assumptions!$D$6),IF(A21=1+Assumptions!$D$8,MIN(Assumptions!$D$15,Assumptions!$D$17*Assumptions!$D$9)-MIN(Assumptions!$D$15,Assumptions!$D$17*Assumptions!$D$6),0))</f>
        <v/>
      </c>
      <c r="I21" s="14">
        <f>F21+G21+H21</f>
        <v/>
      </c>
      <c r="J21" s="14">
        <f>Assumptions!$D$24/4*X21</f>
        <v/>
      </c>
      <c r="K21" s="14">
        <f>Assumptions!$D$25/4*X21</f>
        <v/>
      </c>
      <c r="L21" s="14">
        <f>Assumptions!$D$26/4*X21</f>
        <v/>
      </c>
      <c r="M21" s="14">
        <f>Assumptions!$D$27/4*X21</f>
        <v/>
      </c>
      <c r="N21" s="14">
        <f>Assumptions!$D$28/4*X21</f>
        <v/>
      </c>
      <c r="O21" s="14">
        <f>IF(A21=0,Assumptions!$D$16+Assumptions!$D$31+Assumptions!$D$32,IF(A21=1,Assumptions!$D$15-Assumptions!$D$16,0))</f>
        <v/>
      </c>
      <c r="P21" s="14">
        <f>Assumptions!$D$29/4*X21</f>
        <v/>
      </c>
      <c r="Q21" s="14">
        <f>SUM(J21:P21)+Z21</f>
        <v/>
      </c>
      <c r="R21" s="14">
        <f>I21-Q21</f>
        <v/>
      </c>
      <c r="S21" s="14">
        <f>S20+R21</f>
        <v/>
      </c>
      <c r="T21" s="14">
        <f>IF(OR(A21=0,A21&gt;Assumptions!$D$12),0,D21*(1-Assumptions!$D$19)/Assumptions!$D$12+IF(A21=1+Assumptions!$D$8,Assumptions!$D$7*(1-Assumptions!$D$19)/Assumptions!$D$12*Assumptions!$D$8,0))+Y21</f>
        <v/>
      </c>
      <c r="U21" s="14">
        <f>IF(A21&gt;Assumptions!$D$12,V20*Assumptions!$D$23,0)</f>
        <v/>
      </c>
      <c r="V21" s="14">
        <f>V20*(1-IF(A21&gt;Assumptions!$D$12,Assumptions!$D$23,0))+T21</f>
        <v/>
      </c>
      <c r="W21" s="14">
        <f>IF(OR(A21=0,A21&gt;Assumptions!$D$13),0,Assumptions!$D$18/4)</f>
        <v/>
      </c>
      <c r="X21" s="15">
        <f>IF(A21=0,0,IF(A21&gt;Assumptions!$D$12,Assumptions!$D$30,1))</f>
        <v/>
      </c>
      <c r="Y21" s="14">
        <f>IF(AND(A21&gt;=9,A21&lt;=Assumptions!$D$12),Assumptions!$D$20*Assumptions!$D$10*Assumptions!$D$9*Assumptions!$D$12/4/(Assumptions!$D$12-8),0)</f>
        <v/>
      </c>
      <c r="Z21" s="14">
        <f>IF(Assumptions!$D$22=1,0,Assumptions!$D$21*(T21-Y21+F21+G21+W21))</f>
        <v/>
      </c>
    </row>
    <row r="22">
      <c r="A22" t="n">
        <v>17</v>
      </c>
      <c r="B22">
        <f>IF(A22=0,0,ROUNDUP(A22/4,0))</f>
        <v/>
      </c>
      <c r="C22">
        <f>IF(A22=0,"Pre-close","Y"&amp;B22&amp;" Q"&amp;(A22-(B22-1)*4))</f>
        <v/>
      </c>
      <c r="D22" s="14">
        <f>IF(A22=0,0,Assumptions!$D$6+IF(A22&gt;=1+Assumptions!$D$8,Assumptions!$D$7,0))</f>
        <v/>
      </c>
      <c r="E22" s="14">
        <f>IF(A22&lt;=Assumptions!$D$12,D22,V21)</f>
        <v/>
      </c>
      <c r="F22" s="14">
        <f>IF(OR(A22=0,A22&gt;Assumptions!$D$13),0,IF(A22&lt;=Assumptions!$D$12,Assumptions!$D$10,Assumptions!$D$11)*E22/4)-IF(Assumptions!$D$22=1,Assumptions!$D$21*(T22-Y22),0)</f>
        <v/>
      </c>
      <c r="G22" s="14">
        <f>IF(A22=1+Assumptions!$D$8,Assumptions!$D$7*Assumptions!$D$10*(Assumptions!$D$8/4)*(1+Assumptions!$D$14*(Assumptions!$D$8/4)/2),0)</f>
        <v/>
      </c>
      <c r="H22" s="14">
        <f>IF(A22=1,MIN(Assumptions!$D$15,Assumptions!$D$17*Assumptions!$D$6),IF(A22=1+Assumptions!$D$8,MIN(Assumptions!$D$15,Assumptions!$D$17*Assumptions!$D$9)-MIN(Assumptions!$D$15,Assumptions!$D$17*Assumptions!$D$6),0))</f>
        <v/>
      </c>
      <c r="I22" s="14">
        <f>F22+G22+H22</f>
        <v/>
      </c>
      <c r="J22" s="14">
        <f>Assumptions!$D$24/4*X22</f>
        <v/>
      </c>
      <c r="K22" s="14">
        <f>Assumptions!$D$25/4*X22</f>
        <v/>
      </c>
      <c r="L22" s="14">
        <f>Assumptions!$D$26/4*X22</f>
        <v/>
      </c>
      <c r="M22" s="14">
        <f>Assumptions!$D$27/4*X22</f>
        <v/>
      </c>
      <c r="N22" s="14">
        <f>Assumptions!$D$28/4*X22</f>
        <v/>
      </c>
      <c r="O22" s="14">
        <f>IF(A22=0,Assumptions!$D$16+Assumptions!$D$31+Assumptions!$D$32,IF(A22=1,Assumptions!$D$15-Assumptions!$D$16,0))</f>
        <v/>
      </c>
      <c r="P22" s="14">
        <f>Assumptions!$D$29/4*X22</f>
        <v/>
      </c>
      <c r="Q22" s="14">
        <f>SUM(J22:P22)+Z22</f>
        <v/>
      </c>
      <c r="R22" s="14">
        <f>I22-Q22</f>
        <v/>
      </c>
      <c r="S22" s="14">
        <f>S21+R22</f>
        <v/>
      </c>
      <c r="T22" s="14">
        <f>IF(OR(A22=0,A22&gt;Assumptions!$D$12),0,D22*(1-Assumptions!$D$19)/Assumptions!$D$12+IF(A22=1+Assumptions!$D$8,Assumptions!$D$7*(1-Assumptions!$D$19)/Assumptions!$D$12*Assumptions!$D$8,0))+Y22</f>
        <v/>
      </c>
      <c r="U22" s="14">
        <f>IF(A22&gt;Assumptions!$D$12,V21*Assumptions!$D$23,0)</f>
        <v/>
      </c>
      <c r="V22" s="14">
        <f>V21*(1-IF(A22&gt;Assumptions!$D$12,Assumptions!$D$23,0))+T22</f>
        <v/>
      </c>
      <c r="W22" s="14">
        <f>IF(OR(A22=0,A22&gt;Assumptions!$D$13),0,Assumptions!$D$18/4)</f>
        <v/>
      </c>
      <c r="X22" s="15">
        <f>IF(A22=0,0,IF(A22&gt;Assumptions!$D$12,Assumptions!$D$30,1))</f>
        <v/>
      </c>
      <c r="Y22" s="14">
        <f>IF(AND(A22&gt;=9,A22&lt;=Assumptions!$D$12),Assumptions!$D$20*Assumptions!$D$10*Assumptions!$D$9*Assumptions!$D$12/4/(Assumptions!$D$12-8),0)</f>
        <v/>
      </c>
      <c r="Z22" s="14">
        <f>IF(Assumptions!$D$22=1,0,Assumptions!$D$21*(T22-Y22+F22+G22+W22))</f>
        <v/>
      </c>
    </row>
    <row r="23">
      <c r="A23" t="n">
        <v>18</v>
      </c>
      <c r="B23">
        <f>IF(A23=0,0,ROUNDUP(A23/4,0))</f>
        <v/>
      </c>
      <c r="C23">
        <f>IF(A23=0,"Pre-close","Y"&amp;B23&amp;" Q"&amp;(A23-(B23-1)*4))</f>
        <v/>
      </c>
      <c r="D23" s="14">
        <f>IF(A23=0,0,Assumptions!$D$6+IF(A23&gt;=1+Assumptions!$D$8,Assumptions!$D$7,0))</f>
        <v/>
      </c>
      <c r="E23" s="14">
        <f>IF(A23&lt;=Assumptions!$D$12,D23,V22)</f>
        <v/>
      </c>
      <c r="F23" s="14">
        <f>IF(OR(A23=0,A23&gt;Assumptions!$D$13),0,IF(A23&lt;=Assumptions!$D$12,Assumptions!$D$10,Assumptions!$D$11)*E23/4)-IF(Assumptions!$D$22=1,Assumptions!$D$21*(T23-Y23),0)</f>
        <v/>
      </c>
      <c r="G23" s="14">
        <f>IF(A23=1+Assumptions!$D$8,Assumptions!$D$7*Assumptions!$D$10*(Assumptions!$D$8/4)*(1+Assumptions!$D$14*(Assumptions!$D$8/4)/2),0)</f>
        <v/>
      </c>
      <c r="H23" s="14">
        <f>IF(A23=1,MIN(Assumptions!$D$15,Assumptions!$D$17*Assumptions!$D$6),IF(A23=1+Assumptions!$D$8,MIN(Assumptions!$D$15,Assumptions!$D$17*Assumptions!$D$9)-MIN(Assumptions!$D$15,Assumptions!$D$17*Assumptions!$D$6),0))</f>
        <v/>
      </c>
      <c r="I23" s="14">
        <f>F23+G23+H23</f>
        <v/>
      </c>
      <c r="J23" s="14">
        <f>Assumptions!$D$24/4*X23</f>
        <v/>
      </c>
      <c r="K23" s="14">
        <f>Assumptions!$D$25/4*X23</f>
        <v/>
      </c>
      <c r="L23" s="14">
        <f>Assumptions!$D$26/4*X23</f>
        <v/>
      </c>
      <c r="M23" s="14">
        <f>Assumptions!$D$27/4*X23</f>
        <v/>
      </c>
      <c r="N23" s="14">
        <f>Assumptions!$D$28/4*X23</f>
        <v/>
      </c>
      <c r="O23" s="14">
        <f>IF(A23=0,Assumptions!$D$16+Assumptions!$D$31+Assumptions!$D$32,IF(A23=1,Assumptions!$D$15-Assumptions!$D$16,0))</f>
        <v/>
      </c>
      <c r="P23" s="14">
        <f>Assumptions!$D$29/4*X23</f>
        <v/>
      </c>
      <c r="Q23" s="14">
        <f>SUM(J23:P23)+Z23</f>
        <v/>
      </c>
      <c r="R23" s="14">
        <f>I23-Q23</f>
        <v/>
      </c>
      <c r="S23" s="14">
        <f>S22+R23</f>
        <v/>
      </c>
      <c r="T23" s="14">
        <f>IF(OR(A23=0,A23&gt;Assumptions!$D$12),0,D23*(1-Assumptions!$D$19)/Assumptions!$D$12+IF(A23=1+Assumptions!$D$8,Assumptions!$D$7*(1-Assumptions!$D$19)/Assumptions!$D$12*Assumptions!$D$8,0))+Y23</f>
        <v/>
      </c>
      <c r="U23" s="14">
        <f>IF(A23&gt;Assumptions!$D$12,V22*Assumptions!$D$23,0)</f>
        <v/>
      </c>
      <c r="V23" s="14">
        <f>V22*(1-IF(A23&gt;Assumptions!$D$12,Assumptions!$D$23,0))+T23</f>
        <v/>
      </c>
      <c r="W23" s="14">
        <f>IF(OR(A23=0,A23&gt;Assumptions!$D$13),0,Assumptions!$D$18/4)</f>
        <v/>
      </c>
      <c r="X23" s="15">
        <f>IF(A23=0,0,IF(A23&gt;Assumptions!$D$12,Assumptions!$D$30,1))</f>
        <v/>
      </c>
      <c r="Y23" s="14">
        <f>IF(AND(A23&gt;=9,A23&lt;=Assumptions!$D$12),Assumptions!$D$20*Assumptions!$D$10*Assumptions!$D$9*Assumptions!$D$12/4/(Assumptions!$D$12-8),0)</f>
        <v/>
      </c>
      <c r="Z23" s="14">
        <f>IF(Assumptions!$D$22=1,0,Assumptions!$D$21*(T23-Y23+F23+G23+W23))</f>
        <v/>
      </c>
    </row>
    <row r="24">
      <c r="A24" t="n">
        <v>19</v>
      </c>
      <c r="B24">
        <f>IF(A24=0,0,ROUNDUP(A24/4,0))</f>
        <v/>
      </c>
      <c r="C24">
        <f>IF(A24=0,"Pre-close","Y"&amp;B24&amp;" Q"&amp;(A24-(B24-1)*4))</f>
        <v/>
      </c>
      <c r="D24" s="14">
        <f>IF(A24=0,0,Assumptions!$D$6+IF(A24&gt;=1+Assumptions!$D$8,Assumptions!$D$7,0))</f>
        <v/>
      </c>
      <c r="E24" s="14">
        <f>IF(A24&lt;=Assumptions!$D$12,D24,V23)</f>
        <v/>
      </c>
      <c r="F24" s="14">
        <f>IF(OR(A24=0,A24&gt;Assumptions!$D$13),0,IF(A24&lt;=Assumptions!$D$12,Assumptions!$D$10,Assumptions!$D$11)*E24/4)-IF(Assumptions!$D$22=1,Assumptions!$D$21*(T24-Y24),0)</f>
        <v/>
      </c>
      <c r="G24" s="14">
        <f>IF(A24=1+Assumptions!$D$8,Assumptions!$D$7*Assumptions!$D$10*(Assumptions!$D$8/4)*(1+Assumptions!$D$14*(Assumptions!$D$8/4)/2),0)</f>
        <v/>
      </c>
      <c r="H24" s="14">
        <f>IF(A24=1,MIN(Assumptions!$D$15,Assumptions!$D$17*Assumptions!$D$6),IF(A24=1+Assumptions!$D$8,MIN(Assumptions!$D$15,Assumptions!$D$17*Assumptions!$D$9)-MIN(Assumptions!$D$15,Assumptions!$D$17*Assumptions!$D$6),0))</f>
        <v/>
      </c>
      <c r="I24" s="14">
        <f>F24+G24+H24</f>
        <v/>
      </c>
      <c r="J24" s="14">
        <f>Assumptions!$D$24/4*X24</f>
        <v/>
      </c>
      <c r="K24" s="14">
        <f>Assumptions!$D$25/4*X24</f>
        <v/>
      </c>
      <c r="L24" s="14">
        <f>Assumptions!$D$26/4*X24</f>
        <v/>
      </c>
      <c r="M24" s="14">
        <f>Assumptions!$D$27/4*X24</f>
        <v/>
      </c>
      <c r="N24" s="14">
        <f>Assumptions!$D$28/4*X24</f>
        <v/>
      </c>
      <c r="O24" s="14">
        <f>IF(A24=0,Assumptions!$D$16+Assumptions!$D$31+Assumptions!$D$32,IF(A24=1,Assumptions!$D$15-Assumptions!$D$16,0))</f>
        <v/>
      </c>
      <c r="P24" s="14">
        <f>Assumptions!$D$29/4*X24</f>
        <v/>
      </c>
      <c r="Q24" s="14">
        <f>SUM(J24:P24)+Z24</f>
        <v/>
      </c>
      <c r="R24" s="14">
        <f>I24-Q24</f>
        <v/>
      </c>
      <c r="S24" s="14">
        <f>S23+R24</f>
        <v/>
      </c>
      <c r="T24" s="14">
        <f>IF(OR(A24=0,A24&gt;Assumptions!$D$12),0,D24*(1-Assumptions!$D$19)/Assumptions!$D$12+IF(A24=1+Assumptions!$D$8,Assumptions!$D$7*(1-Assumptions!$D$19)/Assumptions!$D$12*Assumptions!$D$8,0))+Y24</f>
        <v/>
      </c>
      <c r="U24" s="14">
        <f>IF(A24&gt;Assumptions!$D$12,V23*Assumptions!$D$23,0)</f>
        <v/>
      </c>
      <c r="V24" s="14">
        <f>V23*(1-IF(A24&gt;Assumptions!$D$12,Assumptions!$D$23,0))+T24</f>
        <v/>
      </c>
      <c r="W24" s="14">
        <f>IF(OR(A24=0,A24&gt;Assumptions!$D$13),0,Assumptions!$D$18/4)</f>
        <v/>
      </c>
      <c r="X24" s="15">
        <f>IF(A24=0,0,IF(A24&gt;Assumptions!$D$12,Assumptions!$D$30,1))</f>
        <v/>
      </c>
      <c r="Y24" s="14">
        <f>IF(AND(A24&gt;=9,A24&lt;=Assumptions!$D$12),Assumptions!$D$20*Assumptions!$D$10*Assumptions!$D$9*Assumptions!$D$12/4/(Assumptions!$D$12-8),0)</f>
        <v/>
      </c>
      <c r="Z24" s="14">
        <f>IF(Assumptions!$D$22=1,0,Assumptions!$D$21*(T24-Y24+F24+G24+W24))</f>
        <v/>
      </c>
    </row>
    <row r="25">
      <c r="A25" t="n">
        <v>20</v>
      </c>
      <c r="B25">
        <f>IF(A25=0,0,ROUNDUP(A25/4,0))</f>
        <v/>
      </c>
      <c r="C25">
        <f>IF(A25=0,"Pre-close","Y"&amp;B25&amp;" Q"&amp;(A25-(B25-1)*4))</f>
        <v/>
      </c>
      <c r="D25" s="14">
        <f>IF(A25=0,0,Assumptions!$D$6+IF(A25&gt;=1+Assumptions!$D$8,Assumptions!$D$7,0))</f>
        <v/>
      </c>
      <c r="E25" s="14">
        <f>IF(A25&lt;=Assumptions!$D$12,D25,V24)</f>
        <v/>
      </c>
      <c r="F25" s="14">
        <f>IF(OR(A25=0,A25&gt;Assumptions!$D$13),0,IF(A25&lt;=Assumptions!$D$12,Assumptions!$D$10,Assumptions!$D$11)*E25/4)-IF(Assumptions!$D$22=1,Assumptions!$D$21*(T25-Y25),0)</f>
        <v/>
      </c>
      <c r="G25" s="14">
        <f>IF(A25=1+Assumptions!$D$8,Assumptions!$D$7*Assumptions!$D$10*(Assumptions!$D$8/4)*(1+Assumptions!$D$14*(Assumptions!$D$8/4)/2),0)</f>
        <v/>
      </c>
      <c r="H25" s="14">
        <f>IF(A25=1,MIN(Assumptions!$D$15,Assumptions!$D$17*Assumptions!$D$6),IF(A25=1+Assumptions!$D$8,MIN(Assumptions!$D$15,Assumptions!$D$17*Assumptions!$D$9)-MIN(Assumptions!$D$15,Assumptions!$D$17*Assumptions!$D$6),0))</f>
        <v/>
      </c>
      <c r="I25" s="14">
        <f>F25+G25+H25</f>
        <v/>
      </c>
      <c r="J25" s="14">
        <f>Assumptions!$D$24/4*X25</f>
        <v/>
      </c>
      <c r="K25" s="14">
        <f>Assumptions!$D$25/4*X25</f>
        <v/>
      </c>
      <c r="L25" s="14">
        <f>Assumptions!$D$26/4*X25</f>
        <v/>
      </c>
      <c r="M25" s="14">
        <f>Assumptions!$D$27/4*X25</f>
        <v/>
      </c>
      <c r="N25" s="14">
        <f>Assumptions!$D$28/4*X25</f>
        <v/>
      </c>
      <c r="O25" s="14">
        <f>IF(A25=0,Assumptions!$D$16+Assumptions!$D$31+Assumptions!$D$32,IF(A25=1,Assumptions!$D$15-Assumptions!$D$16,0))</f>
        <v/>
      </c>
      <c r="P25" s="14">
        <f>Assumptions!$D$29/4*X25</f>
        <v/>
      </c>
      <c r="Q25" s="14">
        <f>SUM(J25:P25)+Z25</f>
        <v/>
      </c>
      <c r="R25" s="14">
        <f>I25-Q25</f>
        <v/>
      </c>
      <c r="S25" s="14">
        <f>S24+R25</f>
        <v/>
      </c>
      <c r="T25" s="14">
        <f>IF(OR(A25=0,A25&gt;Assumptions!$D$12),0,D25*(1-Assumptions!$D$19)/Assumptions!$D$12+IF(A25=1+Assumptions!$D$8,Assumptions!$D$7*(1-Assumptions!$D$19)/Assumptions!$D$12*Assumptions!$D$8,0))+Y25</f>
        <v/>
      </c>
      <c r="U25" s="14">
        <f>IF(A25&gt;Assumptions!$D$12,V24*Assumptions!$D$23,0)</f>
        <v/>
      </c>
      <c r="V25" s="14">
        <f>V24*(1-IF(A25&gt;Assumptions!$D$12,Assumptions!$D$23,0))+T25</f>
        <v/>
      </c>
      <c r="W25" s="14">
        <f>IF(OR(A25=0,A25&gt;Assumptions!$D$13),0,Assumptions!$D$18/4)</f>
        <v/>
      </c>
      <c r="X25" s="15">
        <f>IF(A25=0,0,IF(A25&gt;Assumptions!$D$12,Assumptions!$D$30,1))</f>
        <v/>
      </c>
      <c r="Y25" s="14">
        <f>IF(AND(A25&gt;=9,A25&lt;=Assumptions!$D$12),Assumptions!$D$20*Assumptions!$D$10*Assumptions!$D$9*Assumptions!$D$12/4/(Assumptions!$D$12-8),0)</f>
        <v/>
      </c>
      <c r="Z25" s="14">
        <f>IF(Assumptions!$D$22=1,0,Assumptions!$D$21*(T25-Y25+F25+G25+W25))</f>
        <v/>
      </c>
    </row>
    <row r="26">
      <c r="A26" t="n">
        <v>21</v>
      </c>
      <c r="B26">
        <f>IF(A26=0,0,ROUNDUP(A26/4,0))</f>
        <v/>
      </c>
      <c r="C26">
        <f>IF(A26=0,"Pre-close","Y"&amp;B26&amp;" Q"&amp;(A26-(B26-1)*4))</f>
        <v/>
      </c>
      <c r="D26" s="14">
        <f>IF(A26=0,0,Assumptions!$D$6+IF(A26&gt;=1+Assumptions!$D$8,Assumptions!$D$7,0))</f>
        <v/>
      </c>
      <c r="E26" s="14">
        <f>IF(A26&lt;=Assumptions!$D$12,D26,V25)</f>
        <v/>
      </c>
      <c r="F26" s="14">
        <f>IF(OR(A26=0,A26&gt;Assumptions!$D$13),0,IF(A26&lt;=Assumptions!$D$12,Assumptions!$D$10,Assumptions!$D$11)*E26/4)-IF(Assumptions!$D$22=1,Assumptions!$D$21*(T26-Y26),0)</f>
        <v/>
      </c>
      <c r="G26" s="14">
        <f>IF(A26=1+Assumptions!$D$8,Assumptions!$D$7*Assumptions!$D$10*(Assumptions!$D$8/4)*(1+Assumptions!$D$14*(Assumptions!$D$8/4)/2),0)</f>
        <v/>
      </c>
      <c r="H26" s="14">
        <f>IF(A26=1,MIN(Assumptions!$D$15,Assumptions!$D$17*Assumptions!$D$6),IF(A26=1+Assumptions!$D$8,MIN(Assumptions!$D$15,Assumptions!$D$17*Assumptions!$D$9)-MIN(Assumptions!$D$15,Assumptions!$D$17*Assumptions!$D$6),0))</f>
        <v/>
      </c>
      <c r="I26" s="14">
        <f>F26+G26+H26</f>
        <v/>
      </c>
      <c r="J26" s="14">
        <f>Assumptions!$D$24/4*X26</f>
        <v/>
      </c>
      <c r="K26" s="14">
        <f>Assumptions!$D$25/4*X26</f>
        <v/>
      </c>
      <c r="L26" s="14">
        <f>Assumptions!$D$26/4*X26</f>
        <v/>
      </c>
      <c r="M26" s="14">
        <f>Assumptions!$D$27/4*X26</f>
        <v/>
      </c>
      <c r="N26" s="14">
        <f>Assumptions!$D$28/4*X26</f>
        <v/>
      </c>
      <c r="O26" s="14">
        <f>IF(A26=0,Assumptions!$D$16+Assumptions!$D$31+Assumptions!$D$32,IF(A26=1,Assumptions!$D$15-Assumptions!$D$16,0))</f>
        <v/>
      </c>
      <c r="P26" s="14">
        <f>Assumptions!$D$29/4*X26</f>
        <v/>
      </c>
      <c r="Q26" s="14">
        <f>SUM(J26:P26)+Z26</f>
        <v/>
      </c>
      <c r="R26" s="14">
        <f>I26-Q26</f>
        <v/>
      </c>
      <c r="S26" s="14">
        <f>S25+R26</f>
        <v/>
      </c>
      <c r="T26" s="14">
        <f>IF(OR(A26=0,A26&gt;Assumptions!$D$12),0,D26*(1-Assumptions!$D$19)/Assumptions!$D$12+IF(A26=1+Assumptions!$D$8,Assumptions!$D$7*(1-Assumptions!$D$19)/Assumptions!$D$12*Assumptions!$D$8,0))+Y26</f>
        <v/>
      </c>
      <c r="U26" s="14">
        <f>IF(A26&gt;Assumptions!$D$12,V25*Assumptions!$D$23,0)</f>
        <v/>
      </c>
      <c r="V26" s="14">
        <f>V25*(1-IF(A26&gt;Assumptions!$D$12,Assumptions!$D$23,0))+T26</f>
        <v/>
      </c>
      <c r="W26" s="14">
        <f>IF(OR(A26=0,A26&gt;Assumptions!$D$13),0,Assumptions!$D$18/4)</f>
        <v/>
      </c>
      <c r="X26" s="15">
        <f>IF(A26=0,0,IF(A26&gt;Assumptions!$D$12,Assumptions!$D$30,1))</f>
        <v/>
      </c>
      <c r="Y26" s="14">
        <f>IF(AND(A26&gt;=9,A26&lt;=Assumptions!$D$12),Assumptions!$D$20*Assumptions!$D$10*Assumptions!$D$9*Assumptions!$D$12/4/(Assumptions!$D$12-8),0)</f>
        <v/>
      </c>
      <c r="Z26" s="14">
        <f>IF(Assumptions!$D$22=1,0,Assumptions!$D$21*(T26-Y26+F26+G26+W26))</f>
        <v/>
      </c>
    </row>
    <row r="27">
      <c r="A27" t="n">
        <v>22</v>
      </c>
      <c r="B27">
        <f>IF(A27=0,0,ROUNDUP(A27/4,0))</f>
        <v/>
      </c>
      <c r="C27">
        <f>IF(A27=0,"Pre-close","Y"&amp;B27&amp;" Q"&amp;(A27-(B27-1)*4))</f>
        <v/>
      </c>
      <c r="D27" s="14">
        <f>IF(A27=0,0,Assumptions!$D$6+IF(A27&gt;=1+Assumptions!$D$8,Assumptions!$D$7,0))</f>
        <v/>
      </c>
      <c r="E27" s="14">
        <f>IF(A27&lt;=Assumptions!$D$12,D27,V26)</f>
        <v/>
      </c>
      <c r="F27" s="14">
        <f>IF(OR(A27=0,A27&gt;Assumptions!$D$13),0,IF(A27&lt;=Assumptions!$D$12,Assumptions!$D$10,Assumptions!$D$11)*E27/4)-IF(Assumptions!$D$22=1,Assumptions!$D$21*(T27-Y27),0)</f>
        <v/>
      </c>
      <c r="G27" s="14">
        <f>IF(A27=1+Assumptions!$D$8,Assumptions!$D$7*Assumptions!$D$10*(Assumptions!$D$8/4)*(1+Assumptions!$D$14*(Assumptions!$D$8/4)/2),0)</f>
        <v/>
      </c>
      <c r="H27" s="14">
        <f>IF(A27=1,MIN(Assumptions!$D$15,Assumptions!$D$17*Assumptions!$D$6),IF(A27=1+Assumptions!$D$8,MIN(Assumptions!$D$15,Assumptions!$D$17*Assumptions!$D$9)-MIN(Assumptions!$D$15,Assumptions!$D$17*Assumptions!$D$6),0))</f>
        <v/>
      </c>
      <c r="I27" s="14">
        <f>F27+G27+H27</f>
        <v/>
      </c>
      <c r="J27" s="14">
        <f>Assumptions!$D$24/4*X27</f>
        <v/>
      </c>
      <c r="K27" s="14">
        <f>Assumptions!$D$25/4*X27</f>
        <v/>
      </c>
      <c r="L27" s="14">
        <f>Assumptions!$D$26/4*X27</f>
        <v/>
      </c>
      <c r="M27" s="14">
        <f>Assumptions!$D$27/4*X27</f>
        <v/>
      </c>
      <c r="N27" s="14">
        <f>Assumptions!$D$28/4*X27</f>
        <v/>
      </c>
      <c r="O27" s="14">
        <f>IF(A27=0,Assumptions!$D$16+Assumptions!$D$31+Assumptions!$D$32,IF(A27=1,Assumptions!$D$15-Assumptions!$D$16,0))</f>
        <v/>
      </c>
      <c r="P27" s="14">
        <f>Assumptions!$D$29/4*X27</f>
        <v/>
      </c>
      <c r="Q27" s="14">
        <f>SUM(J27:P27)+Z27</f>
        <v/>
      </c>
      <c r="R27" s="14">
        <f>I27-Q27</f>
        <v/>
      </c>
      <c r="S27" s="14">
        <f>S26+R27</f>
        <v/>
      </c>
      <c r="T27" s="14">
        <f>IF(OR(A27=0,A27&gt;Assumptions!$D$12),0,D27*(1-Assumptions!$D$19)/Assumptions!$D$12+IF(A27=1+Assumptions!$D$8,Assumptions!$D$7*(1-Assumptions!$D$19)/Assumptions!$D$12*Assumptions!$D$8,0))+Y27</f>
        <v/>
      </c>
      <c r="U27" s="14">
        <f>IF(A27&gt;Assumptions!$D$12,V26*Assumptions!$D$23,0)</f>
        <v/>
      </c>
      <c r="V27" s="14">
        <f>V26*(1-IF(A27&gt;Assumptions!$D$12,Assumptions!$D$23,0))+T27</f>
        <v/>
      </c>
      <c r="W27" s="14">
        <f>IF(OR(A27=0,A27&gt;Assumptions!$D$13),0,Assumptions!$D$18/4)</f>
        <v/>
      </c>
      <c r="X27" s="15">
        <f>IF(A27=0,0,IF(A27&gt;Assumptions!$D$12,Assumptions!$D$30,1))</f>
        <v/>
      </c>
      <c r="Y27" s="14">
        <f>IF(AND(A27&gt;=9,A27&lt;=Assumptions!$D$12),Assumptions!$D$20*Assumptions!$D$10*Assumptions!$D$9*Assumptions!$D$12/4/(Assumptions!$D$12-8),0)</f>
        <v/>
      </c>
      <c r="Z27" s="14">
        <f>IF(Assumptions!$D$22=1,0,Assumptions!$D$21*(T27-Y27+F27+G27+W27))</f>
        <v/>
      </c>
    </row>
    <row r="28">
      <c r="A28" t="n">
        <v>23</v>
      </c>
      <c r="B28">
        <f>IF(A28=0,0,ROUNDUP(A28/4,0))</f>
        <v/>
      </c>
      <c r="C28">
        <f>IF(A28=0,"Pre-close","Y"&amp;B28&amp;" Q"&amp;(A28-(B28-1)*4))</f>
        <v/>
      </c>
      <c r="D28" s="14">
        <f>IF(A28=0,0,Assumptions!$D$6+IF(A28&gt;=1+Assumptions!$D$8,Assumptions!$D$7,0))</f>
        <v/>
      </c>
      <c r="E28" s="14">
        <f>IF(A28&lt;=Assumptions!$D$12,D28,V27)</f>
        <v/>
      </c>
      <c r="F28" s="14">
        <f>IF(OR(A28=0,A28&gt;Assumptions!$D$13),0,IF(A28&lt;=Assumptions!$D$12,Assumptions!$D$10,Assumptions!$D$11)*E28/4)-IF(Assumptions!$D$22=1,Assumptions!$D$21*(T28-Y28),0)</f>
        <v/>
      </c>
      <c r="G28" s="14">
        <f>IF(A28=1+Assumptions!$D$8,Assumptions!$D$7*Assumptions!$D$10*(Assumptions!$D$8/4)*(1+Assumptions!$D$14*(Assumptions!$D$8/4)/2),0)</f>
        <v/>
      </c>
      <c r="H28" s="14">
        <f>IF(A28=1,MIN(Assumptions!$D$15,Assumptions!$D$17*Assumptions!$D$6),IF(A28=1+Assumptions!$D$8,MIN(Assumptions!$D$15,Assumptions!$D$17*Assumptions!$D$9)-MIN(Assumptions!$D$15,Assumptions!$D$17*Assumptions!$D$6),0))</f>
        <v/>
      </c>
      <c r="I28" s="14">
        <f>F28+G28+H28</f>
        <v/>
      </c>
      <c r="J28" s="14">
        <f>Assumptions!$D$24/4*X28</f>
        <v/>
      </c>
      <c r="K28" s="14">
        <f>Assumptions!$D$25/4*X28</f>
        <v/>
      </c>
      <c r="L28" s="14">
        <f>Assumptions!$D$26/4*X28</f>
        <v/>
      </c>
      <c r="M28" s="14">
        <f>Assumptions!$D$27/4*X28</f>
        <v/>
      </c>
      <c r="N28" s="14">
        <f>Assumptions!$D$28/4*X28</f>
        <v/>
      </c>
      <c r="O28" s="14">
        <f>IF(A28=0,Assumptions!$D$16+Assumptions!$D$31+Assumptions!$D$32,IF(A28=1,Assumptions!$D$15-Assumptions!$D$16,0))</f>
        <v/>
      </c>
      <c r="P28" s="14">
        <f>Assumptions!$D$29/4*X28</f>
        <v/>
      </c>
      <c r="Q28" s="14">
        <f>SUM(J28:P28)+Z28</f>
        <v/>
      </c>
      <c r="R28" s="14">
        <f>I28-Q28</f>
        <v/>
      </c>
      <c r="S28" s="14">
        <f>S27+R28</f>
        <v/>
      </c>
      <c r="T28" s="14">
        <f>IF(OR(A28=0,A28&gt;Assumptions!$D$12),0,D28*(1-Assumptions!$D$19)/Assumptions!$D$12+IF(A28=1+Assumptions!$D$8,Assumptions!$D$7*(1-Assumptions!$D$19)/Assumptions!$D$12*Assumptions!$D$8,0))+Y28</f>
        <v/>
      </c>
      <c r="U28" s="14">
        <f>IF(A28&gt;Assumptions!$D$12,V27*Assumptions!$D$23,0)</f>
        <v/>
      </c>
      <c r="V28" s="14">
        <f>V27*(1-IF(A28&gt;Assumptions!$D$12,Assumptions!$D$23,0))+T28</f>
        <v/>
      </c>
      <c r="W28" s="14">
        <f>IF(OR(A28=0,A28&gt;Assumptions!$D$13),0,Assumptions!$D$18/4)</f>
        <v/>
      </c>
      <c r="X28" s="15">
        <f>IF(A28=0,0,IF(A28&gt;Assumptions!$D$12,Assumptions!$D$30,1))</f>
        <v/>
      </c>
      <c r="Y28" s="14">
        <f>IF(AND(A28&gt;=9,A28&lt;=Assumptions!$D$12),Assumptions!$D$20*Assumptions!$D$10*Assumptions!$D$9*Assumptions!$D$12/4/(Assumptions!$D$12-8),0)</f>
        <v/>
      </c>
      <c r="Z28" s="14">
        <f>IF(Assumptions!$D$22=1,0,Assumptions!$D$21*(T28-Y28+F28+G28+W28))</f>
        <v/>
      </c>
    </row>
    <row r="29">
      <c r="A29" t="n">
        <v>24</v>
      </c>
      <c r="B29">
        <f>IF(A29=0,0,ROUNDUP(A29/4,0))</f>
        <v/>
      </c>
      <c r="C29">
        <f>IF(A29=0,"Pre-close","Y"&amp;B29&amp;" Q"&amp;(A29-(B29-1)*4))</f>
        <v/>
      </c>
      <c r="D29" s="14">
        <f>IF(A29=0,0,Assumptions!$D$6+IF(A29&gt;=1+Assumptions!$D$8,Assumptions!$D$7,0))</f>
        <v/>
      </c>
      <c r="E29" s="14">
        <f>IF(A29&lt;=Assumptions!$D$12,D29,V28)</f>
        <v/>
      </c>
      <c r="F29" s="14">
        <f>IF(OR(A29=0,A29&gt;Assumptions!$D$13),0,IF(A29&lt;=Assumptions!$D$12,Assumptions!$D$10,Assumptions!$D$11)*E29/4)-IF(Assumptions!$D$22=1,Assumptions!$D$21*(T29-Y29),0)</f>
        <v/>
      </c>
      <c r="G29" s="14">
        <f>IF(A29=1+Assumptions!$D$8,Assumptions!$D$7*Assumptions!$D$10*(Assumptions!$D$8/4)*(1+Assumptions!$D$14*(Assumptions!$D$8/4)/2),0)</f>
        <v/>
      </c>
      <c r="H29" s="14">
        <f>IF(A29=1,MIN(Assumptions!$D$15,Assumptions!$D$17*Assumptions!$D$6),IF(A29=1+Assumptions!$D$8,MIN(Assumptions!$D$15,Assumptions!$D$17*Assumptions!$D$9)-MIN(Assumptions!$D$15,Assumptions!$D$17*Assumptions!$D$6),0))</f>
        <v/>
      </c>
      <c r="I29" s="14">
        <f>F29+G29+H29</f>
        <v/>
      </c>
      <c r="J29" s="14">
        <f>Assumptions!$D$24/4*X29</f>
        <v/>
      </c>
      <c r="K29" s="14">
        <f>Assumptions!$D$25/4*X29</f>
        <v/>
      </c>
      <c r="L29" s="14">
        <f>Assumptions!$D$26/4*X29</f>
        <v/>
      </c>
      <c r="M29" s="14">
        <f>Assumptions!$D$27/4*X29</f>
        <v/>
      </c>
      <c r="N29" s="14">
        <f>Assumptions!$D$28/4*X29</f>
        <v/>
      </c>
      <c r="O29" s="14">
        <f>IF(A29=0,Assumptions!$D$16+Assumptions!$D$31+Assumptions!$D$32,IF(A29=1,Assumptions!$D$15-Assumptions!$D$16,0))</f>
        <v/>
      </c>
      <c r="P29" s="14">
        <f>Assumptions!$D$29/4*X29</f>
        <v/>
      </c>
      <c r="Q29" s="14">
        <f>SUM(J29:P29)+Z29</f>
        <v/>
      </c>
      <c r="R29" s="14">
        <f>I29-Q29</f>
        <v/>
      </c>
      <c r="S29" s="14">
        <f>S28+R29</f>
        <v/>
      </c>
      <c r="T29" s="14">
        <f>IF(OR(A29=0,A29&gt;Assumptions!$D$12),0,D29*(1-Assumptions!$D$19)/Assumptions!$D$12+IF(A29=1+Assumptions!$D$8,Assumptions!$D$7*(1-Assumptions!$D$19)/Assumptions!$D$12*Assumptions!$D$8,0))+Y29</f>
        <v/>
      </c>
      <c r="U29" s="14">
        <f>IF(A29&gt;Assumptions!$D$12,V28*Assumptions!$D$23,0)</f>
        <v/>
      </c>
      <c r="V29" s="14">
        <f>V28*(1-IF(A29&gt;Assumptions!$D$12,Assumptions!$D$23,0))+T29</f>
        <v/>
      </c>
      <c r="W29" s="14">
        <f>IF(OR(A29=0,A29&gt;Assumptions!$D$13),0,Assumptions!$D$18/4)</f>
        <v/>
      </c>
      <c r="X29" s="15">
        <f>IF(A29=0,0,IF(A29&gt;Assumptions!$D$12,Assumptions!$D$30,1))</f>
        <v/>
      </c>
      <c r="Y29" s="14">
        <f>IF(AND(A29&gt;=9,A29&lt;=Assumptions!$D$12),Assumptions!$D$20*Assumptions!$D$10*Assumptions!$D$9*Assumptions!$D$12/4/(Assumptions!$D$12-8),0)</f>
        <v/>
      </c>
      <c r="Z29" s="14">
        <f>IF(Assumptions!$D$22=1,0,Assumptions!$D$21*(T29-Y29+F29+G29+W29))</f>
        <v/>
      </c>
    </row>
    <row r="30">
      <c r="A30" t="n">
        <v>25</v>
      </c>
      <c r="B30">
        <f>IF(A30=0,0,ROUNDUP(A30/4,0))</f>
        <v/>
      </c>
      <c r="C30">
        <f>IF(A30=0,"Pre-close","Y"&amp;B30&amp;" Q"&amp;(A30-(B30-1)*4))</f>
        <v/>
      </c>
      <c r="D30" s="14">
        <f>IF(A30=0,0,Assumptions!$D$6+IF(A30&gt;=1+Assumptions!$D$8,Assumptions!$D$7,0))</f>
        <v/>
      </c>
      <c r="E30" s="14">
        <f>IF(A30&lt;=Assumptions!$D$12,D30,V29)</f>
        <v/>
      </c>
      <c r="F30" s="14">
        <f>IF(OR(A30=0,A30&gt;Assumptions!$D$13),0,IF(A30&lt;=Assumptions!$D$12,Assumptions!$D$10,Assumptions!$D$11)*E30/4)-IF(Assumptions!$D$22=1,Assumptions!$D$21*(T30-Y30),0)</f>
        <v/>
      </c>
      <c r="G30" s="14">
        <f>IF(A30=1+Assumptions!$D$8,Assumptions!$D$7*Assumptions!$D$10*(Assumptions!$D$8/4)*(1+Assumptions!$D$14*(Assumptions!$D$8/4)/2),0)</f>
        <v/>
      </c>
      <c r="H30" s="14">
        <f>IF(A30=1,MIN(Assumptions!$D$15,Assumptions!$D$17*Assumptions!$D$6),IF(A30=1+Assumptions!$D$8,MIN(Assumptions!$D$15,Assumptions!$D$17*Assumptions!$D$9)-MIN(Assumptions!$D$15,Assumptions!$D$17*Assumptions!$D$6),0))</f>
        <v/>
      </c>
      <c r="I30" s="14">
        <f>F30+G30+H30</f>
        <v/>
      </c>
      <c r="J30" s="14">
        <f>Assumptions!$D$24/4*X30</f>
        <v/>
      </c>
      <c r="K30" s="14">
        <f>Assumptions!$D$25/4*X30</f>
        <v/>
      </c>
      <c r="L30" s="14">
        <f>Assumptions!$D$26/4*X30</f>
        <v/>
      </c>
      <c r="M30" s="14">
        <f>Assumptions!$D$27/4*X30</f>
        <v/>
      </c>
      <c r="N30" s="14">
        <f>Assumptions!$D$28/4*X30</f>
        <v/>
      </c>
      <c r="O30" s="14">
        <f>IF(A30=0,Assumptions!$D$16+Assumptions!$D$31+Assumptions!$D$32,IF(A30=1,Assumptions!$D$15-Assumptions!$D$16,0))</f>
        <v/>
      </c>
      <c r="P30" s="14">
        <f>Assumptions!$D$29/4*X30</f>
        <v/>
      </c>
      <c r="Q30" s="14">
        <f>SUM(J30:P30)+Z30</f>
        <v/>
      </c>
      <c r="R30" s="14">
        <f>I30-Q30</f>
        <v/>
      </c>
      <c r="S30" s="14">
        <f>S29+R30</f>
        <v/>
      </c>
      <c r="T30" s="14">
        <f>IF(OR(A30=0,A30&gt;Assumptions!$D$12),0,D30*(1-Assumptions!$D$19)/Assumptions!$D$12+IF(A30=1+Assumptions!$D$8,Assumptions!$D$7*(1-Assumptions!$D$19)/Assumptions!$D$12*Assumptions!$D$8,0))+Y30</f>
        <v/>
      </c>
      <c r="U30" s="14">
        <f>IF(A30&gt;Assumptions!$D$12,V29*Assumptions!$D$23,0)</f>
        <v/>
      </c>
      <c r="V30" s="14">
        <f>V29*(1-IF(A30&gt;Assumptions!$D$12,Assumptions!$D$23,0))+T30</f>
        <v/>
      </c>
      <c r="W30" s="14">
        <f>IF(OR(A30=0,A30&gt;Assumptions!$D$13),0,Assumptions!$D$18/4)</f>
        <v/>
      </c>
      <c r="X30" s="15">
        <f>IF(A30=0,0,IF(A30&gt;Assumptions!$D$12,Assumptions!$D$30,1))</f>
        <v/>
      </c>
      <c r="Y30" s="14">
        <f>IF(AND(A30&gt;=9,A30&lt;=Assumptions!$D$12),Assumptions!$D$20*Assumptions!$D$10*Assumptions!$D$9*Assumptions!$D$12/4/(Assumptions!$D$12-8),0)</f>
        <v/>
      </c>
      <c r="Z30" s="14">
        <f>IF(Assumptions!$D$22=1,0,Assumptions!$D$21*(T30-Y30+F30+G30+W30))</f>
        <v/>
      </c>
    </row>
    <row r="31">
      <c r="A31" t="n">
        <v>26</v>
      </c>
      <c r="B31">
        <f>IF(A31=0,0,ROUNDUP(A31/4,0))</f>
        <v/>
      </c>
      <c r="C31">
        <f>IF(A31=0,"Pre-close","Y"&amp;B31&amp;" Q"&amp;(A31-(B31-1)*4))</f>
        <v/>
      </c>
      <c r="D31" s="14">
        <f>IF(A31=0,0,Assumptions!$D$6+IF(A31&gt;=1+Assumptions!$D$8,Assumptions!$D$7,0))</f>
        <v/>
      </c>
      <c r="E31" s="14">
        <f>IF(A31&lt;=Assumptions!$D$12,D31,V30)</f>
        <v/>
      </c>
      <c r="F31" s="14">
        <f>IF(OR(A31=0,A31&gt;Assumptions!$D$13),0,IF(A31&lt;=Assumptions!$D$12,Assumptions!$D$10,Assumptions!$D$11)*E31/4)-IF(Assumptions!$D$22=1,Assumptions!$D$21*(T31-Y31),0)</f>
        <v/>
      </c>
      <c r="G31" s="14">
        <f>IF(A31=1+Assumptions!$D$8,Assumptions!$D$7*Assumptions!$D$10*(Assumptions!$D$8/4)*(1+Assumptions!$D$14*(Assumptions!$D$8/4)/2),0)</f>
        <v/>
      </c>
      <c r="H31" s="14">
        <f>IF(A31=1,MIN(Assumptions!$D$15,Assumptions!$D$17*Assumptions!$D$6),IF(A31=1+Assumptions!$D$8,MIN(Assumptions!$D$15,Assumptions!$D$17*Assumptions!$D$9)-MIN(Assumptions!$D$15,Assumptions!$D$17*Assumptions!$D$6),0))</f>
        <v/>
      </c>
      <c r="I31" s="14">
        <f>F31+G31+H31</f>
        <v/>
      </c>
      <c r="J31" s="14">
        <f>Assumptions!$D$24/4*X31</f>
        <v/>
      </c>
      <c r="K31" s="14">
        <f>Assumptions!$D$25/4*X31</f>
        <v/>
      </c>
      <c r="L31" s="14">
        <f>Assumptions!$D$26/4*X31</f>
        <v/>
      </c>
      <c r="M31" s="14">
        <f>Assumptions!$D$27/4*X31</f>
        <v/>
      </c>
      <c r="N31" s="14">
        <f>Assumptions!$D$28/4*X31</f>
        <v/>
      </c>
      <c r="O31" s="14">
        <f>IF(A31=0,Assumptions!$D$16+Assumptions!$D$31+Assumptions!$D$32,IF(A31=1,Assumptions!$D$15-Assumptions!$D$16,0))</f>
        <v/>
      </c>
      <c r="P31" s="14">
        <f>Assumptions!$D$29/4*X31</f>
        <v/>
      </c>
      <c r="Q31" s="14">
        <f>SUM(J31:P31)+Z31</f>
        <v/>
      </c>
      <c r="R31" s="14">
        <f>I31-Q31</f>
        <v/>
      </c>
      <c r="S31" s="14">
        <f>S30+R31</f>
        <v/>
      </c>
      <c r="T31" s="14">
        <f>IF(OR(A31=0,A31&gt;Assumptions!$D$12),0,D31*(1-Assumptions!$D$19)/Assumptions!$D$12+IF(A31=1+Assumptions!$D$8,Assumptions!$D$7*(1-Assumptions!$D$19)/Assumptions!$D$12*Assumptions!$D$8,0))+Y31</f>
        <v/>
      </c>
      <c r="U31" s="14">
        <f>IF(A31&gt;Assumptions!$D$12,V30*Assumptions!$D$23,0)</f>
        <v/>
      </c>
      <c r="V31" s="14">
        <f>V30*(1-IF(A31&gt;Assumptions!$D$12,Assumptions!$D$23,0))+T31</f>
        <v/>
      </c>
      <c r="W31" s="14">
        <f>IF(OR(A31=0,A31&gt;Assumptions!$D$13),0,Assumptions!$D$18/4)</f>
        <v/>
      </c>
      <c r="X31" s="15">
        <f>IF(A31=0,0,IF(A31&gt;Assumptions!$D$12,Assumptions!$D$30,1))</f>
        <v/>
      </c>
      <c r="Y31" s="14">
        <f>IF(AND(A31&gt;=9,A31&lt;=Assumptions!$D$12),Assumptions!$D$20*Assumptions!$D$10*Assumptions!$D$9*Assumptions!$D$12/4/(Assumptions!$D$12-8),0)</f>
        <v/>
      </c>
      <c r="Z31" s="14">
        <f>IF(Assumptions!$D$22=1,0,Assumptions!$D$21*(T31-Y31+F31+G31+W31))</f>
        <v/>
      </c>
    </row>
    <row r="32">
      <c r="A32" t="n">
        <v>27</v>
      </c>
      <c r="B32">
        <f>IF(A32=0,0,ROUNDUP(A32/4,0))</f>
        <v/>
      </c>
      <c r="C32">
        <f>IF(A32=0,"Pre-close","Y"&amp;B32&amp;" Q"&amp;(A32-(B32-1)*4))</f>
        <v/>
      </c>
      <c r="D32" s="14">
        <f>IF(A32=0,0,Assumptions!$D$6+IF(A32&gt;=1+Assumptions!$D$8,Assumptions!$D$7,0))</f>
        <v/>
      </c>
      <c r="E32" s="14">
        <f>IF(A32&lt;=Assumptions!$D$12,D32,V31)</f>
        <v/>
      </c>
      <c r="F32" s="14">
        <f>IF(OR(A32=0,A32&gt;Assumptions!$D$13),0,IF(A32&lt;=Assumptions!$D$12,Assumptions!$D$10,Assumptions!$D$11)*E32/4)-IF(Assumptions!$D$22=1,Assumptions!$D$21*(T32-Y32),0)</f>
        <v/>
      </c>
      <c r="G32" s="14">
        <f>IF(A32=1+Assumptions!$D$8,Assumptions!$D$7*Assumptions!$D$10*(Assumptions!$D$8/4)*(1+Assumptions!$D$14*(Assumptions!$D$8/4)/2),0)</f>
        <v/>
      </c>
      <c r="H32" s="14">
        <f>IF(A32=1,MIN(Assumptions!$D$15,Assumptions!$D$17*Assumptions!$D$6),IF(A32=1+Assumptions!$D$8,MIN(Assumptions!$D$15,Assumptions!$D$17*Assumptions!$D$9)-MIN(Assumptions!$D$15,Assumptions!$D$17*Assumptions!$D$6),0))</f>
        <v/>
      </c>
      <c r="I32" s="14">
        <f>F32+G32+H32</f>
        <v/>
      </c>
      <c r="J32" s="14">
        <f>Assumptions!$D$24/4*X32</f>
        <v/>
      </c>
      <c r="K32" s="14">
        <f>Assumptions!$D$25/4*X32</f>
        <v/>
      </c>
      <c r="L32" s="14">
        <f>Assumptions!$D$26/4*X32</f>
        <v/>
      </c>
      <c r="M32" s="14">
        <f>Assumptions!$D$27/4*X32</f>
        <v/>
      </c>
      <c r="N32" s="14">
        <f>Assumptions!$D$28/4*X32</f>
        <v/>
      </c>
      <c r="O32" s="14">
        <f>IF(A32=0,Assumptions!$D$16+Assumptions!$D$31+Assumptions!$D$32,IF(A32=1,Assumptions!$D$15-Assumptions!$D$16,0))</f>
        <v/>
      </c>
      <c r="P32" s="14">
        <f>Assumptions!$D$29/4*X32</f>
        <v/>
      </c>
      <c r="Q32" s="14">
        <f>SUM(J32:P32)+Z32</f>
        <v/>
      </c>
      <c r="R32" s="14">
        <f>I32-Q32</f>
        <v/>
      </c>
      <c r="S32" s="14">
        <f>S31+R32</f>
        <v/>
      </c>
      <c r="T32" s="14">
        <f>IF(OR(A32=0,A32&gt;Assumptions!$D$12),0,D32*(1-Assumptions!$D$19)/Assumptions!$D$12+IF(A32=1+Assumptions!$D$8,Assumptions!$D$7*(1-Assumptions!$D$19)/Assumptions!$D$12*Assumptions!$D$8,0))+Y32</f>
        <v/>
      </c>
      <c r="U32" s="14">
        <f>IF(A32&gt;Assumptions!$D$12,V31*Assumptions!$D$23,0)</f>
        <v/>
      </c>
      <c r="V32" s="14">
        <f>V31*(1-IF(A32&gt;Assumptions!$D$12,Assumptions!$D$23,0))+T32</f>
        <v/>
      </c>
      <c r="W32" s="14">
        <f>IF(OR(A32=0,A32&gt;Assumptions!$D$13),0,Assumptions!$D$18/4)</f>
        <v/>
      </c>
      <c r="X32" s="15">
        <f>IF(A32=0,0,IF(A32&gt;Assumptions!$D$12,Assumptions!$D$30,1))</f>
        <v/>
      </c>
      <c r="Y32" s="14">
        <f>IF(AND(A32&gt;=9,A32&lt;=Assumptions!$D$12),Assumptions!$D$20*Assumptions!$D$10*Assumptions!$D$9*Assumptions!$D$12/4/(Assumptions!$D$12-8),0)</f>
        <v/>
      </c>
      <c r="Z32" s="14">
        <f>IF(Assumptions!$D$22=1,0,Assumptions!$D$21*(T32-Y32+F32+G32+W32))</f>
        <v/>
      </c>
    </row>
    <row r="33">
      <c r="A33" t="n">
        <v>28</v>
      </c>
      <c r="B33">
        <f>IF(A33=0,0,ROUNDUP(A33/4,0))</f>
        <v/>
      </c>
      <c r="C33">
        <f>IF(A33=0,"Pre-close","Y"&amp;B33&amp;" Q"&amp;(A33-(B33-1)*4))</f>
        <v/>
      </c>
      <c r="D33" s="14">
        <f>IF(A33=0,0,Assumptions!$D$6+IF(A33&gt;=1+Assumptions!$D$8,Assumptions!$D$7,0))</f>
        <v/>
      </c>
      <c r="E33" s="14">
        <f>IF(A33&lt;=Assumptions!$D$12,D33,V32)</f>
        <v/>
      </c>
      <c r="F33" s="14">
        <f>IF(OR(A33=0,A33&gt;Assumptions!$D$13),0,IF(A33&lt;=Assumptions!$D$12,Assumptions!$D$10,Assumptions!$D$11)*E33/4)-IF(Assumptions!$D$22=1,Assumptions!$D$21*(T33-Y33),0)</f>
        <v/>
      </c>
      <c r="G33" s="14">
        <f>IF(A33=1+Assumptions!$D$8,Assumptions!$D$7*Assumptions!$D$10*(Assumptions!$D$8/4)*(1+Assumptions!$D$14*(Assumptions!$D$8/4)/2),0)</f>
        <v/>
      </c>
      <c r="H33" s="14">
        <f>IF(A33=1,MIN(Assumptions!$D$15,Assumptions!$D$17*Assumptions!$D$6),IF(A33=1+Assumptions!$D$8,MIN(Assumptions!$D$15,Assumptions!$D$17*Assumptions!$D$9)-MIN(Assumptions!$D$15,Assumptions!$D$17*Assumptions!$D$6),0))</f>
        <v/>
      </c>
      <c r="I33" s="14">
        <f>F33+G33+H33</f>
        <v/>
      </c>
      <c r="J33" s="14">
        <f>Assumptions!$D$24/4*X33</f>
        <v/>
      </c>
      <c r="K33" s="14">
        <f>Assumptions!$D$25/4*X33</f>
        <v/>
      </c>
      <c r="L33" s="14">
        <f>Assumptions!$D$26/4*X33</f>
        <v/>
      </c>
      <c r="M33" s="14">
        <f>Assumptions!$D$27/4*X33</f>
        <v/>
      </c>
      <c r="N33" s="14">
        <f>Assumptions!$D$28/4*X33</f>
        <v/>
      </c>
      <c r="O33" s="14">
        <f>IF(A33=0,Assumptions!$D$16+Assumptions!$D$31+Assumptions!$D$32,IF(A33=1,Assumptions!$D$15-Assumptions!$D$16,0))</f>
        <v/>
      </c>
      <c r="P33" s="14">
        <f>Assumptions!$D$29/4*X33</f>
        <v/>
      </c>
      <c r="Q33" s="14">
        <f>SUM(J33:P33)+Z33</f>
        <v/>
      </c>
      <c r="R33" s="14">
        <f>I33-Q33</f>
        <v/>
      </c>
      <c r="S33" s="14">
        <f>S32+R33</f>
        <v/>
      </c>
      <c r="T33" s="14">
        <f>IF(OR(A33=0,A33&gt;Assumptions!$D$12),0,D33*(1-Assumptions!$D$19)/Assumptions!$D$12+IF(A33=1+Assumptions!$D$8,Assumptions!$D$7*(1-Assumptions!$D$19)/Assumptions!$D$12*Assumptions!$D$8,0))+Y33</f>
        <v/>
      </c>
      <c r="U33" s="14">
        <f>IF(A33&gt;Assumptions!$D$12,V32*Assumptions!$D$23,0)</f>
        <v/>
      </c>
      <c r="V33" s="14">
        <f>V32*(1-IF(A33&gt;Assumptions!$D$12,Assumptions!$D$23,0))+T33</f>
        <v/>
      </c>
      <c r="W33" s="14">
        <f>IF(OR(A33=0,A33&gt;Assumptions!$D$13),0,Assumptions!$D$18/4)</f>
        <v/>
      </c>
      <c r="X33" s="15">
        <f>IF(A33=0,0,IF(A33&gt;Assumptions!$D$12,Assumptions!$D$30,1))</f>
        <v/>
      </c>
      <c r="Y33" s="14">
        <f>IF(AND(A33&gt;=9,A33&lt;=Assumptions!$D$12),Assumptions!$D$20*Assumptions!$D$10*Assumptions!$D$9*Assumptions!$D$12/4/(Assumptions!$D$12-8),0)</f>
        <v/>
      </c>
      <c r="Z33" s="14">
        <f>IF(Assumptions!$D$22=1,0,Assumptions!$D$21*(T33-Y33+F33+G33+W33))</f>
        <v/>
      </c>
    </row>
    <row r="34">
      <c r="A34" t="n">
        <v>29</v>
      </c>
      <c r="B34">
        <f>IF(A34=0,0,ROUNDUP(A34/4,0))</f>
        <v/>
      </c>
      <c r="C34">
        <f>IF(A34=0,"Pre-close","Y"&amp;B34&amp;" Q"&amp;(A34-(B34-1)*4))</f>
        <v/>
      </c>
      <c r="D34" s="14">
        <f>IF(A34=0,0,Assumptions!$D$6+IF(A34&gt;=1+Assumptions!$D$8,Assumptions!$D$7,0))</f>
        <v/>
      </c>
      <c r="E34" s="14">
        <f>IF(A34&lt;=Assumptions!$D$12,D34,V33)</f>
        <v/>
      </c>
      <c r="F34" s="14">
        <f>IF(OR(A34=0,A34&gt;Assumptions!$D$13),0,IF(A34&lt;=Assumptions!$D$12,Assumptions!$D$10,Assumptions!$D$11)*E34/4)-IF(Assumptions!$D$22=1,Assumptions!$D$21*(T34-Y34),0)</f>
        <v/>
      </c>
      <c r="G34" s="14">
        <f>IF(A34=1+Assumptions!$D$8,Assumptions!$D$7*Assumptions!$D$10*(Assumptions!$D$8/4)*(1+Assumptions!$D$14*(Assumptions!$D$8/4)/2),0)</f>
        <v/>
      </c>
      <c r="H34" s="14">
        <f>IF(A34=1,MIN(Assumptions!$D$15,Assumptions!$D$17*Assumptions!$D$6),IF(A34=1+Assumptions!$D$8,MIN(Assumptions!$D$15,Assumptions!$D$17*Assumptions!$D$9)-MIN(Assumptions!$D$15,Assumptions!$D$17*Assumptions!$D$6),0))</f>
        <v/>
      </c>
      <c r="I34" s="14">
        <f>F34+G34+H34</f>
        <v/>
      </c>
      <c r="J34" s="14">
        <f>Assumptions!$D$24/4*X34</f>
        <v/>
      </c>
      <c r="K34" s="14">
        <f>Assumptions!$D$25/4*X34</f>
        <v/>
      </c>
      <c r="L34" s="14">
        <f>Assumptions!$D$26/4*X34</f>
        <v/>
      </c>
      <c r="M34" s="14">
        <f>Assumptions!$D$27/4*X34</f>
        <v/>
      </c>
      <c r="N34" s="14">
        <f>Assumptions!$D$28/4*X34</f>
        <v/>
      </c>
      <c r="O34" s="14">
        <f>IF(A34=0,Assumptions!$D$16+Assumptions!$D$31+Assumptions!$D$32,IF(A34=1,Assumptions!$D$15-Assumptions!$D$16,0))</f>
        <v/>
      </c>
      <c r="P34" s="14">
        <f>Assumptions!$D$29/4*X34</f>
        <v/>
      </c>
      <c r="Q34" s="14">
        <f>SUM(J34:P34)+Z34</f>
        <v/>
      </c>
      <c r="R34" s="14">
        <f>I34-Q34</f>
        <v/>
      </c>
      <c r="S34" s="14">
        <f>S33+R34</f>
        <v/>
      </c>
      <c r="T34" s="14">
        <f>IF(OR(A34=0,A34&gt;Assumptions!$D$12),0,D34*(1-Assumptions!$D$19)/Assumptions!$D$12+IF(A34=1+Assumptions!$D$8,Assumptions!$D$7*(1-Assumptions!$D$19)/Assumptions!$D$12*Assumptions!$D$8,0))+Y34</f>
        <v/>
      </c>
      <c r="U34" s="14">
        <f>IF(A34&gt;Assumptions!$D$12,V33*Assumptions!$D$23,0)</f>
        <v/>
      </c>
      <c r="V34" s="14">
        <f>V33*(1-IF(A34&gt;Assumptions!$D$12,Assumptions!$D$23,0))+T34</f>
        <v/>
      </c>
      <c r="W34" s="14">
        <f>IF(OR(A34=0,A34&gt;Assumptions!$D$13),0,Assumptions!$D$18/4)</f>
        <v/>
      </c>
      <c r="X34" s="15">
        <f>IF(A34=0,0,IF(A34&gt;Assumptions!$D$12,Assumptions!$D$30,1))</f>
        <v/>
      </c>
      <c r="Y34" s="14">
        <f>IF(AND(A34&gt;=9,A34&lt;=Assumptions!$D$12),Assumptions!$D$20*Assumptions!$D$10*Assumptions!$D$9*Assumptions!$D$12/4/(Assumptions!$D$12-8),0)</f>
        <v/>
      </c>
      <c r="Z34" s="14">
        <f>IF(Assumptions!$D$22=1,0,Assumptions!$D$21*(T34-Y34+F34+G34+W34))</f>
        <v/>
      </c>
    </row>
    <row r="35">
      <c r="A35" t="n">
        <v>30</v>
      </c>
      <c r="B35">
        <f>IF(A35=0,0,ROUNDUP(A35/4,0))</f>
        <v/>
      </c>
      <c r="C35">
        <f>IF(A35=0,"Pre-close","Y"&amp;B35&amp;" Q"&amp;(A35-(B35-1)*4))</f>
        <v/>
      </c>
      <c r="D35" s="14">
        <f>IF(A35=0,0,Assumptions!$D$6+IF(A35&gt;=1+Assumptions!$D$8,Assumptions!$D$7,0))</f>
        <v/>
      </c>
      <c r="E35" s="14">
        <f>IF(A35&lt;=Assumptions!$D$12,D35,V34)</f>
        <v/>
      </c>
      <c r="F35" s="14">
        <f>IF(OR(A35=0,A35&gt;Assumptions!$D$13),0,IF(A35&lt;=Assumptions!$D$12,Assumptions!$D$10,Assumptions!$D$11)*E35/4)-IF(Assumptions!$D$22=1,Assumptions!$D$21*(T35-Y35),0)</f>
        <v/>
      </c>
      <c r="G35" s="14">
        <f>IF(A35=1+Assumptions!$D$8,Assumptions!$D$7*Assumptions!$D$10*(Assumptions!$D$8/4)*(1+Assumptions!$D$14*(Assumptions!$D$8/4)/2),0)</f>
        <v/>
      </c>
      <c r="H35" s="14">
        <f>IF(A35=1,MIN(Assumptions!$D$15,Assumptions!$D$17*Assumptions!$D$6),IF(A35=1+Assumptions!$D$8,MIN(Assumptions!$D$15,Assumptions!$D$17*Assumptions!$D$9)-MIN(Assumptions!$D$15,Assumptions!$D$17*Assumptions!$D$6),0))</f>
        <v/>
      </c>
      <c r="I35" s="14">
        <f>F35+G35+H35</f>
        <v/>
      </c>
      <c r="J35" s="14">
        <f>Assumptions!$D$24/4*X35</f>
        <v/>
      </c>
      <c r="K35" s="14">
        <f>Assumptions!$D$25/4*X35</f>
        <v/>
      </c>
      <c r="L35" s="14">
        <f>Assumptions!$D$26/4*X35</f>
        <v/>
      </c>
      <c r="M35" s="14">
        <f>Assumptions!$D$27/4*X35</f>
        <v/>
      </c>
      <c r="N35" s="14">
        <f>Assumptions!$D$28/4*X35</f>
        <v/>
      </c>
      <c r="O35" s="14">
        <f>IF(A35=0,Assumptions!$D$16+Assumptions!$D$31+Assumptions!$D$32,IF(A35=1,Assumptions!$D$15-Assumptions!$D$16,0))</f>
        <v/>
      </c>
      <c r="P35" s="14">
        <f>Assumptions!$D$29/4*X35</f>
        <v/>
      </c>
      <c r="Q35" s="14">
        <f>SUM(J35:P35)+Z35</f>
        <v/>
      </c>
      <c r="R35" s="14">
        <f>I35-Q35</f>
        <v/>
      </c>
      <c r="S35" s="14">
        <f>S34+R35</f>
        <v/>
      </c>
      <c r="T35" s="14">
        <f>IF(OR(A35=0,A35&gt;Assumptions!$D$12),0,D35*(1-Assumptions!$D$19)/Assumptions!$D$12+IF(A35=1+Assumptions!$D$8,Assumptions!$D$7*(1-Assumptions!$D$19)/Assumptions!$D$12*Assumptions!$D$8,0))+Y35</f>
        <v/>
      </c>
      <c r="U35" s="14">
        <f>IF(A35&gt;Assumptions!$D$12,V34*Assumptions!$D$23,0)</f>
        <v/>
      </c>
      <c r="V35" s="14">
        <f>V34*(1-IF(A35&gt;Assumptions!$D$12,Assumptions!$D$23,0))+T35</f>
        <v/>
      </c>
      <c r="W35" s="14">
        <f>IF(OR(A35=0,A35&gt;Assumptions!$D$13),0,Assumptions!$D$18/4)</f>
        <v/>
      </c>
      <c r="X35" s="15">
        <f>IF(A35=0,0,IF(A35&gt;Assumptions!$D$12,Assumptions!$D$30,1))</f>
        <v/>
      </c>
      <c r="Y35" s="14">
        <f>IF(AND(A35&gt;=9,A35&lt;=Assumptions!$D$12),Assumptions!$D$20*Assumptions!$D$10*Assumptions!$D$9*Assumptions!$D$12/4/(Assumptions!$D$12-8),0)</f>
        <v/>
      </c>
      <c r="Z35" s="14">
        <f>IF(Assumptions!$D$22=1,0,Assumptions!$D$21*(T35-Y35+F35+G35+W35))</f>
        <v/>
      </c>
    </row>
    <row r="36">
      <c r="A36" t="n">
        <v>31</v>
      </c>
      <c r="B36">
        <f>IF(A36=0,0,ROUNDUP(A36/4,0))</f>
        <v/>
      </c>
      <c r="C36">
        <f>IF(A36=0,"Pre-close","Y"&amp;B36&amp;" Q"&amp;(A36-(B36-1)*4))</f>
        <v/>
      </c>
      <c r="D36" s="14">
        <f>IF(A36=0,0,Assumptions!$D$6+IF(A36&gt;=1+Assumptions!$D$8,Assumptions!$D$7,0))</f>
        <v/>
      </c>
      <c r="E36" s="14">
        <f>IF(A36&lt;=Assumptions!$D$12,D36,V35)</f>
        <v/>
      </c>
      <c r="F36" s="14">
        <f>IF(OR(A36=0,A36&gt;Assumptions!$D$13),0,IF(A36&lt;=Assumptions!$D$12,Assumptions!$D$10,Assumptions!$D$11)*E36/4)-IF(Assumptions!$D$22=1,Assumptions!$D$21*(T36-Y36),0)</f>
        <v/>
      </c>
      <c r="G36" s="14">
        <f>IF(A36=1+Assumptions!$D$8,Assumptions!$D$7*Assumptions!$D$10*(Assumptions!$D$8/4)*(1+Assumptions!$D$14*(Assumptions!$D$8/4)/2),0)</f>
        <v/>
      </c>
      <c r="H36" s="14">
        <f>IF(A36=1,MIN(Assumptions!$D$15,Assumptions!$D$17*Assumptions!$D$6),IF(A36=1+Assumptions!$D$8,MIN(Assumptions!$D$15,Assumptions!$D$17*Assumptions!$D$9)-MIN(Assumptions!$D$15,Assumptions!$D$17*Assumptions!$D$6),0))</f>
        <v/>
      </c>
      <c r="I36" s="14">
        <f>F36+G36+H36</f>
        <v/>
      </c>
      <c r="J36" s="14">
        <f>Assumptions!$D$24/4*X36</f>
        <v/>
      </c>
      <c r="K36" s="14">
        <f>Assumptions!$D$25/4*X36</f>
        <v/>
      </c>
      <c r="L36" s="14">
        <f>Assumptions!$D$26/4*X36</f>
        <v/>
      </c>
      <c r="M36" s="14">
        <f>Assumptions!$D$27/4*X36</f>
        <v/>
      </c>
      <c r="N36" s="14">
        <f>Assumptions!$D$28/4*X36</f>
        <v/>
      </c>
      <c r="O36" s="14">
        <f>IF(A36=0,Assumptions!$D$16+Assumptions!$D$31+Assumptions!$D$32,IF(A36=1,Assumptions!$D$15-Assumptions!$D$16,0))</f>
        <v/>
      </c>
      <c r="P36" s="14">
        <f>Assumptions!$D$29/4*X36</f>
        <v/>
      </c>
      <c r="Q36" s="14">
        <f>SUM(J36:P36)+Z36</f>
        <v/>
      </c>
      <c r="R36" s="14">
        <f>I36-Q36</f>
        <v/>
      </c>
      <c r="S36" s="14">
        <f>S35+R36</f>
        <v/>
      </c>
      <c r="T36" s="14">
        <f>IF(OR(A36=0,A36&gt;Assumptions!$D$12),0,D36*(1-Assumptions!$D$19)/Assumptions!$D$12+IF(A36=1+Assumptions!$D$8,Assumptions!$D$7*(1-Assumptions!$D$19)/Assumptions!$D$12*Assumptions!$D$8,0))+Y36</f>
        <v/>
      </c>
      <c r="U36" s="14">
        <f>IF(A36&gt;Assumptions!$D$12,V35*Assumptions!$D$23,0)</f>
        <v/>
      </c>
      <c r="V36" s="14">
        <f>V35*(1-IF(A36&gt;Assumptions!$D$12,Assumptions!$D$23,0))+T36</f>
        <v/>
      </c>
      <c r="W36" s="14">
        <f>IF(OR(A36=0,A36&gt;Assumptions!$D$13),0,Assumptions!$D$18/4)</f>
        <v/>
      </c>
      <c r="X36" s="15">
        <f>IF(A36=0,0,IF(A36&gt;Assumptions!$D$12,Assumptions!$D$30,1))</f>
        <v/>
      </c>
      <c r="Y36" s="14">
        <f>IF(AND(A36&gt;=9,A36&lt;=Assumptions!$D$12),Assumptions!$D$20*Assumptions!$D$10*Assumptions!$D$9*Assumptions!$D$12/4/(Assumptions!$D$12-8),0)</f>
        <v/>
      </c>
      <c r="Z36" s="14">
        <f>IF(Assumptions!$D$22=1,0,Assumptions!$D$21*(T36-Y36+F36+G36+W36))</f>
        <v/>
      </c>
    </row>
    <row r="37">
      <c r="A37" t="n">
        <v>32</v>
      </c>
      <c r="B37">
        <f>IF(A37=0,0,ROUNDUP(A37/4,0))</f>
        <v/>
      </c>
      <c r="C37">
        <f>IF(A37=0,"Pre-close","Y"&amp;B37&amp;" Q"&amp;(A37-(B37-1)*4))</f>
        <v/>
      </c>
      <c r="D37" s="14">
        <f>IF(A37=0,0,Assumptions!$D$6+IF(A37&gt;=1+Assumptions!$D$8,Assumptions!$D$7,0))</f>
        <v/>
      </c>
      <c r="E37" s="14">
        <f>IF(A37&lt;=Assumptions!$D$12,D37,V36)</f>
        <v/>
      </c>
      <c r="F37" s="14">
        <f>IF(OR(A37=0,A37&gt;Assumptions!$D$13),0,IF(A37&lt;=Assumptions!$D$12,Assumptions!$D$10,Assumptions!$D$11)*E37/4)-IF(Assumptions!$D$22=1,Assumptions!$D$21*(T37-Y37),0)</f>
        <v/>
      </c>
      <c r="G37" s="14">
        <f>IF(A37=1+Assumptions!$D$8,Assumptions!$D$7*Assumptions!$D$10*(Assumptions!$D$8/4)*(1+Assumptions!$D$14*(Assumptions!$D$8/4)/2),0)</f>
        <v/>
      </c>
      <c r="H37" s="14">
        <f>IF(A37=1,MIN(Assumptions!$D$15,Assumptions!$D$17*Assumptions!$D$6),IF(A37=1+Assumptions!$D$8,MIN(Assumptions!$D$15,Assumptions!$D$17*Assumptions!$D$9)-MIN(Assumptions!$D$15,Assumptions!$D$17*Assumptions!$D$6),0))</f>
        <v/>
      </c>
      <c r="I37" s="14">
        <f>F37+G37+H37</f>
        <v/>
      </c>
      <c r="J37" s="14">
        <f>Assumptions!$D$24/4*X37</f>
        <v/>
      </c>
      <c r="K37" s="14">
        <f>Assumptions!$D$25/4*X37</f>
        <v/>
      </c>
      <c r="L37" s="14">
        <f>Assumptions!$D$26/4*X37</f>
        <v/>
      </c>
      <c r="M37" s="14">
        <f>Assumptions!$D$27/4*X37</f>
        <v/>
      </c>
      <c r="N37" s="14">
        <f>Assumptions!$D$28/4*X37</f>
        <v/>
      </c>
      <c r="O37" s="14">
        <f>IF(A37=0,Assumptions!$D$16+Assumptions!$D$31+Assumptions!$D$32,IF(A37=1,Assumptions!$D$15-Assumptions!$D$16,0))</f>
        <v/>
      </c>
      <c r="P37" s="14">
        <f>Assumptions!$D$29/4*X37</f>
        <v/>
      </c>
      <c r="Q37" s="14">
        <f>SUM(J37:P37)+Z37</f>
        <v/>
      </c>
      <c r="R37" s="14">
        <f>I37-Q37</f>
        <v/>
      </c>
      <c r="S37" s="14">
        <f>S36+R37</f>
        <v/>
      </c>
      <c r="T37" s="14">
        <f>IF(OR(A37=0,A37&gt;Assumptions!$D$12),0,D37*(1-Assumptions!$D$19)/Assumptions!$D$12+IF(A37=1+Assumptions!$D$8,Assumptions!$D$7*(1-Assumptions!$D$19)/Assumptions!$D$12*Assumptions!$D$8,0))+Y37</f>
        <v/>
      </c>
      <c r="U37" s="14">
        <f>IF(A37&gt;Assumptions!$D$12,V36*Assumptions!$D$23,0)</f>
        <v/>
      </c>
      <c r="V37" s="14">
        <f>V36*(1-IF(A37&gt;Assumptions!$D$12,Assumptions!$D$23,0))+T37</f>
        <v/>
      </c>
      <c r="W37" s="14">
        <f>IF(OR(A37=0,A37&gt;Assumptions!$D$13),0,Assumptions!$D$18/4)</f>
        <v/>
      </c>
      <c r="X37" s="15">
        <f>IF(A37=0,0,IF(A37&gt;Assumptions!$D$12,Assumptions!$D$30,1))</f>
        <v/>
      </c>
      <c r="Y37" s="14">
        <f>IF(AND(A37&gt;=9,A37&lt;=Assumptions!$D$12),Assumptions!$D$20*Assumptions!$D$10*Assumptions!$D$9*Assumptions!$D$12/4/(Assumptions!$D$12-8),0)</f>
        <v/>
      </c>
      <c r="Z37" s="14">
        <f>IF(Assumptions!$D$22=1,0,Assumptions!$D$21*(T37-Y37+F37+G37+W37))</f>
        <v/>
      </c>
    </row>
    <row r="38">
      <c r="A38" t="n">
        <v>33</v>
      </c>
      <c r="B38">
        <f>IF(A38=0,0,ROUNDUP(A38/4,0))</f>
        <v/>
      </c>
      <c r="C38">
        <f>IF(A38=0,"Pre-close","Y"&amp;B38&amp;" Q"&amp;(A38-(B38-1)*4))</f>
        <v/>
      </c>
      <c r="D38" s="14">
        <f>IF(A38=0,0,Assumptions!$D$6+IF(A38&gt;=1+Assumptions!$D$8,Assumptions!$D$7,0))</f>
        <v/>
      </c>
      <c r="E38" s="14">
        <f>IF(A38&lt;=Assumptions!$D$12,D38,V37)</f>
        <v/>
      </c>
      <c r="F38" s="14">
        <f>IF(OR(A38=0,A38&gt;Assumptions!$D$13),0,IF(A38&lt;=Assumptions!$D$12,Assumptions!$D$10,Assumptions!$D$11)*E38/4)-IF(Assumptions!$D$22=1,Assumptions!$D$21*(T38-Y38),0)</f>
        <v/>
      </c>
      <c r="G38" s="14">
        <f>IF(A38=1+Assumptions!$D$8,Assumptions!$D$7*Assumptions!$D$10*(Assumptions!$D$8/4)*(1+Assumptions!$D$14*(Assumptions!$D$8/4)/2),0)</f>
        <v/>
      </c>
      <c r="H38" s="14">
        <f>IF(A38=1,MIN(Assumptions!$D$15,Assumptions!$D$17*Assumptions!$D$6),IF(A38=1+Assumptions!$D$8,MIN(Assumptions!$D$15,Assumptions!$D$17*Assumptions!$D$9)-MIN(Assumptions!$D$15,Assumptions!$D$17*Assumptions!$D$6),0))</f>
        <v/>
      </c>
      <c r="I38" s="14">
        <f>F38+G38+H38</f>
        <v/>
      </c>
      <c r="J38" s="14">
        <f>Assumptions!$D$24/4*X38</f>
        <v/>
      </c>
      <c r="K38" s="14">
        <f>Assumptions!$D$25/4*X38</f>
        <v/>
      </c>
      <c r="L38" s="14">
        <f>Assumptions!$D$26/4*X38</f>
        <v/>
      </c>
      <c r="M38" s="14">
        <f>Assumptions!$D$27/4*X38</f>
        <v/>
      </c>
      <c r="N38" s="14">
        <f>Assumptions!$D$28/4*X38</f>
        <v/>
      </c>
      <c r="O38" s="14">
        <f>IF(A38=0,Assumptions!$D$16+Assumptions!$D$31+Assumptions!$D$32,IF(A38=1,Assumptions!$D$15-Assumptions!$D$16,0))</f>
        <v/>
      </c>
      <c r="P38" s="14">
        <f>Assumptions!$D$29/4*X38</f>
        <v/>
      </c>
      <c r="Q38" s="14">
        <f>SUM(J38:P38)+Z38</f>
        <v/>
      </c>
      <c r="R38" s="14">
        <f>I38-Q38</f>
        <v/>
      </c>
      <c r="S38" s="14">
        <f>S37+R38</f>
        <v/>
      </c>
      <c r="T38" s="14">
        <f>IF(OR(A38=0,A38&gt;Assumptions!$D$12),0,D38*(1-Assumptions!$D$19)/Assumptions!$D$12+IF(A38=1+Assumptions!$D$8,Assumptions!$D$7*(1-Assumptions!$D$19)/Assumptions!$D$12*Assumptions!$D$8,0))+Y38</f>
        <v/>
      </c>
      <c r="U38" s="14">
        <f>IF(A38&gt;Assumptions!$D$12,V37*Assumptions!$D$23,0)</f>
        <v/>
      </c>
      <c r="V38" s="14">
        <f>V37*(1-IF(A38&gt;Assumptions!$D$12,Assumptions!$D$23,0))+T38</f>
        <v/>
      </c>
      <c r="W38" s="14">
        <f>IF(OR(A38=0,A38&gt;Assumptions!$D$13),0,Assumptions!$D$18/4)</f>
        <v/>
      </c>
      <c r="X38" s="15">
        <f>IF(A38=0,0,IF(A38&gt;Assumptions!$D$12,Assumptions!$D$30,1))</f>
        <v/>
      </c>
      <c r="Y38" s="14">
        <f>IF(AND(A38&gt;=9,A38&lt;=Assumptions!$D$12),Assumptions!$D$20*Assumptions!$D$10*Assumptions!$D$9*Assumptions!$D$12/4/(Assumptions!$D$12-8),0)</f>
        <v/>
      </c>
      <c r="Z38" s="14">
        <f>IF(Assumptions!$D$22=1,0,Assumptions!$D$21*(T38-Y38+F38+G38+W38))</f>
        <v/>
      </c>
    </row>
    <row r="39">
      <c r="A39" t="n">
        <v>34</v>
      </c>
      <c r="B39">
        <f>IF(A39=0,0,ROUNDUP(A39/4,0))</f>
        <v/>
      </c>
      <c r="C39">
        <f>IF(A39=0,"Pre-close","Y"&amp;B39&amp;" Q"&amp;(A39-(B39-1)*4))</f>
        <v/>
      </c>
      <c r="D39" s="14">
        <f>IF(A39=0,0,Assumptions!$D$6+IF(A39&gt;=1+Assumptions!$D$8,Assumptions!$D$7,0))</f>
        <v/>
      </c>
      <c r="E39" s="14">
        <f>IF(A39&lt;=Assumptions!$D$12,D39,V38)</f>
        <v/>
      </c>
      <c r="F39" s="14">
        <f>IF(OR(A39=0,A39&gt;Assumptions!$D$13),0,IF(A39&lt;=Assumptions!$D$12,Assumptions!$D$10,Assumptions!$D$11)*E39/4)-IF(Assumptions!$D$22=1,Assumptions!$D$21*(T39-Y39),0)</f>
        <v/>
      </c>
      <c r="G39" s="14">
        <f>IF(A39=1+Assumptions!$D$8,Assumptions!$D$7*Assumptions!$D$10*(Assumptions!$D$8/4)*(1+Assumptions!$D$14*(Assumptions!$D$8/4)/2),0)</f>
        <v/>
      </c>
      <c r="H39" s="14">
        <f>IF(A39=1,MIN(Assumptions!$D$15,Assumptions!$D$17*Assumptions!$D$6),IF(A39=1+Assumptions!$D$8,MIN(Assumptions!$D$15,Assumptions!$D$17*Assumptions!$D$9)-MIN(Assumptions!$D$15,Assumptions!$D$17*Assumptions!$D$6),0))</f>
        <v/>
      </c>
      <c r="I39" s="14">
        <f>F39+G39+H39</f>
        <v/>
      </c>
      <c r="J39" s="14">
        <f>Assumptions!$D$24/4*X39</f>
        <v/>
      </c>
      <c r="K39" s="14">
        <f>Assumptions!$D$25/4*X39</f>
        <v/>
      </c>
      <c r="L39" s="14">
        <f>Assumptions!$D$26/4*X39</f>
        <v/>
      </c>
      <c r="M39" s="14">
        <f>Assumptions!$D$27/4*X39</f>
        <v/>
      </c>
      <c r="N39" s="14">
        <f>Assumptions!$D$28/4*X39</f>
        <v/>
      </c>
      <c r="O39" s="14">
        <f>IF(A39=0,Assumptions!$D$16+Assumptions!$D$31+Assumptions!$D$32,IF(A39=1,Assumptions!$D$15-Assumptions!$D$16,0))</f>
        <v/>
      </c>
      <c r="P39" s="14">
        <f>Assumptions!$D$29/4*X39</f>
        <v/>
      </c>
      <c r="Q39" s="14">
        <f>SUM(J39:P39)+Z39</f>
        <v/>
      </c>
      <c r="R39" s="14">
        <f>I39-Q39</f>
        <v/>
      </c>
      <c r="S39" s="14">
        <f>S38+R39</f>
        <v/>
      </c>
      <c r="T39" s="14">
        <f>IF(OR(A39=0,A39&gt;Assumptions!$D$12),0,D39*(1-Assumptions!$D$19)/Assumptions!$D$12+IF(A39=1+Assumptions!$D$8,Assumptions!$D$7*(1-Assumptions!$D$19)/Assumptions!$D$12*Assumptions!$D$8,0))+Y39</f>
        <v/>
      </c>
      <c r="U39" s="14">
        <f>IF(A39&gt;Assumptions!$D$12,V38*Assumptions!$D$23,0)</f>
        <v/>
      </c>
      <c r="V39" s="14">
        <f>V38*(1-IF(A39&gt;Assumptions!$D$12,Assumptions!$D$23,0))+T39</f>
        <v/>
      </c>
      <c r="W39" s="14">
        <f>IF(OR(A39=0,A39&gt;Assumptions!$D$13),0,Assumptions!$D$18/4)</f>
        <v/>
      </c>
      <c r="X39" s="15">
        <f>IF(A39=0,0,IF(A39&gt;Assumptions!$D$12,Assumptions!$D$30,1))</f>
        <v/>
      </c>
      <c r="Y39" s="14">
        <f>IF(AND(A39&gt;=9,A39&lt;=Assumptions!$D$12),Assumptions!$D$20*Assumptions!$D$10*Assumptions!$D$9*Assumptions!$D$12/4/(Assumptions!$D$12-8),0)</f>
        <v/>
      </c>
      <c r="Z39" s="14">
        <f>IF(Assumptions!$D$22=1,0,Assumptions!$D$21*(T39-Y39+F39+G39+W39))</f>
        <v/>
      </c>
    </row>
    <row r="40">
      <c r="A40" t="n">
        <v>35</v>
      </c>
      <c r="B40">
        <f>IF(A40=0,0,ROUNDUP(A40/4,0))</f>
        <v/>
      </c>
      <c r="C40">
        <f>IF(A40=0,"Pre-close","Y"&amp;B40&amp;" Q"&amp;(A40-(B40-1)*4))</f>
        <v/>
      </c>
      <c r="D40" s="14">
        <f>IF(A40=0,0,Assumptions!$D$6+IF(A40&gt;=1+Assumptions!$D$8,Assumptions!$D$7,0))</f>
        <v/>
      </c>
      <c r="E40" s="14">
        <f>IF(A40&lt;=Assumptions!$D$12,D40,V39)</f>
        <v/>
      </c>
      <c r="F40" s="14">
        <f>IF(OR(A40=0,A40&gt;Assumptions!$D$13),0,IF(A40&lt;=Assumptions!$D$12,Assumptions!$D$10,Assumptions!$D$11)*E40/4)-IF(Assumptions!$D$22=1,Assumptions!$D$21*(T40-Y40),0)</f>
        <v/>
      </c>
      <c r="G40" s="14">
        <f>IF(A40=1+Assumptions!$D$8,Assumptions!$D$7*Assumptions!$D$10*(Assumptions!$D$8/4)*(1+Assumptions!$D$14*(Assumptions!$D$8/4)/2),0)</f>
        <v/>
      </c>
      <c r="H40" s="14">
        <f>IF(A40=1,MIN(Assumptions!$D$15,Assumptions!$D$17*Assumptions!$D$6),IF(A40=1+Assumptions!$D$8,MIN(Assumptions!$D$15,Assumptions!$D$17*Assumptions!$D$9)-MIN(Assumptions!$D$15,Assumptions!$D$17*Assumptions!$D$6),0))</f>
        <v/>
      </c>
      <c r="I40" s="14">
        <f>F40+G40+H40</f>
        <v/>
      </c>
      <c r="J40" s="14">
        <f>Assumptions!$D$24/4*X40</f>
        <v/>
      </c>
      <c r="K40" s="14">
        <f>Assumptions!$D$25/4*X40</f>
        <v/>
      </c>
      <c r="L40" s="14">
        <f>Assumptions!$D$26/4*X40</f>
        <v/>
      </c>
      <c r="M40" s="14">
        <f>Assumptions!$D$27/4*X40</f>
        <v/>
      </c>
      <c r="N40" s="14">
        <f>Assumptions!$D$28/4*X40</f>
        <v/>
      </c>
      <c r="O40" s="14">
        <f>IF(A40=0,Assumptions!$D$16+Assumptions!$D$31+Assumptions!$D$32,IF(A40=1,Assumptions!$D$15-Assumptions!$D$16,0))</f>
        <v/>
      </c>
      <c r="P40" s="14">
        <f>Assumptions!$D$29/4*X40</f>
        <v/>
      </c>
      <c r="Q40" s="14">
        <f>SUM(J40:P40)+Z40</f>
        <v/>
      </c>
      <c r="R40" s="14">
        <f>I40-Q40</f>
        <v/>
      </c>
      <c r="S40" s="14">
        <f>S39+R40</f>
        <v/>
      </c>
      <c r="T40" s="14">
        <f>IF(OR(A40=0,A40&gt;Assumptions!$D$12),0,D40*(1-Assumptions!$D$19)/Assumptions!$D$12+IF(A40=1+Assumptions!$D$8,Assumptions!$D$7*(1-Assumptions!$D$19)/Assumptions!$D$12*Assumptions!$D$8,0))+Y40</f>
        <v/>
      </c>
      <c r="U40" s="14">
        <f>IF(A40&gt;Assumptions!$D$12,V39*Assumptions!$D$23,0)</f>
        <v/>
      </c>
      <c r="V40" s="14">
        <f>V39*(1-IF(A40&gt;Assumptions!$D$12,Assumptions!$D$23,0))+T40</f>
        <v/>
      </c>
      <c r="W40" s="14">
        <f>IF(OR(A40=0,A40&gt;Assumptions!$D$13),0,Assumptions!$D$18/4)</f>
        <v/>
      </c>
      <c r="X40" s="15">
        <f>IF(A40=0,0,IF(A40&gt;Assumptions!$D$12,Assumptions!$D$30,1))</f>
        <v/>
      </c>
      <c r="Y40" s="14">
        <f>IF(AND(A40&gt;=9,A40&lt;=Assumptions!$D$12),Assumptions!$D$20*Assumptions!$D$10*Assumptions!$D$9*Assumptions!$D$12/4/(Assumptions!$D$12-8),0)</f>
        <v/>
      </c>
      <c r="Z40" s="14">
        <f>IF(Assumptions!$D$22=1,0,Assumptions!$D$21*(T40-Y40+F40+G40+W40))</f>
        <v/>
      </c>
    </row>
    <row r="41">
      <c r="A41" t="n">
        <v>36</v>
      </c>
      <c r="B41">
        <f>IF(A41=0,0,ROUNDUP(A41/4,0))</f>
        <v/>
      </c>
      <c r="C41">
        <f>IF(A41=0,"Pre-close","Y"&amp;B41&amp;" Q"&amp;(A41-(B41-1)*4))</f>
        <v/>
      </c>
      <c r="D41" s="14">
        <f>IF(A41=0,0,Assumptions!$D$6+IF(A41&gt;=1+Assumptions!$D$8,Assumptions!$D$7,0))</f>
        <v/>
      </c>
      <c r="E41" s="14">
        <f>IF(A41&lt;=Assumptions!$D$12,D41,V40)</f>
        <v/>
      </c>
      <c r="F41" s="14">
        <f>IF(OR(A41=0,A41&gt;Assumptions!$D$13),0,IF(A41&lt;=Assumptions!$D$12,Assumptions!$D$10,Assumptions!$D$11)*E41/4)-IF(Assumptions!$D$22=1,Assumptions!$D$21*(T41-Y41),0)</f>
        <v/>
      </c>
      <c r="G41" s="14">
        <f>IF(A41=1+Assumptions!$D$8,Assumptions!$D$7*Assumptions!$D$10*(Assumptions!$D$8/4)*(1+Assumptions!$D$14*(Assumptions!$D$8/4)/2),0)</f>
        <v/>
      </c>
      <c r="H41" s="14">
        <f>IF(A41=1,MIN(Assumptions!$D$15,Assumptions!$D$17*Assumptions!$D$6),IF(A41=1+Assumptions!$D$8,MIN(Assumptions!$D$15,Assumptions!$D$17*Assumptions!$D$9)-MIN(Assumptions!$D$15,Assumptions!$D$17*Assumptions!$D$6),0))</f>
        <v/>
      </c>
      <c r="I41" s="14">
        <f>F41+G41+H41</f>
        <v/>
      </c>
      <c r="J41" s="14">
        <f>Assumptions!$D$24/4*X41</f>
        <v/>
      </c>
      <c r="K41" s="14">
        <f>Assumptions!$D$25/4*X41</f>
        <v/>
      </c>
      <c r="L41" s="14">
        <f>Assumptions!$D$26/4*X41</f>
        <v/>
      </c>
      <c r="M41" s="14">
        <f>Assumptions!$D$27/4*X41</f>
        <v/>
      </c>
      <c r="N41" s="14">
        <f>Assumptions!$D$28/4*X41</f>
        <v/>
      </c>
      <c r="O41" s="14">
        <f>IF(A41=0,Assumptions!$D$16+Assumptions!$D$31+Assumptions!$D$32,IF(A41=1,Assumptions!$D$15-Assumptions!$D$16,0))</f>
        <v/>
      </c>
      <c r="P41" s="14">
        <f>Assumptions!$D$29/4*X41</f>
        <v/>
      </c>
      <c r="Q41" s="14">
        <f>SUM(J41:P41)+Z41</f>
        <v/>
      </c>
      <c r="R41" s="14">
        <f>I41-Q41</f>
        <v/>
      </c>
      <c r="S41" s="14">
        <f>S40+R41</f>
        <v/>
      </c>
      <c r="T41" s="14">
        <f>IF(OR(A41=0,A41&gt;Assumptions!$D$12),0,D41*(1-Assumptions!$D$19)/Assumptions!$D$12+IF(A41=1+Assumptions!$D$8,Assumptions!$D$7*(1-Assumptions!$D$19)/Assumptions!$D$12*Assumptions!$D$8,0))+Y41</f>
        <v/>
      </c>
      <c r="U41" s="14">
        <f>IF(A41&gt;Assumptions!$D$12,V40*Assumptions!$D$23,0)</f>
        <v/>
      </c>
      <c r="V41" s="14">
        <f>V40*(1-IF(A41&gt;Assumptions!$D$12,Assumptions!$D$23,0))+T41</f>
        <v/>
      </c>
      <c r="W41" s="14">
        <f>IF(OR(A41=0,A41&gt;Assumptions!$D$13),0,Assumptions!$D$18/4)</f>
        <v/>
      </c>
      <c r="X41" s="15">
        <f>IF(A41=0,0,IF(A41&gt;Assumptions!$D$12,Assumptions!$D$30,1))</f>
        <v/>
      </c>
      <c r="Y41" s="14">
        <f>IF(AND(A41&gt;=9,A41&lt;=Assumptions!$D$12),Assumptions!$D$20*Assumptions!$D$10*Assumptions!$D$9*Assumptions!$D$12/4/(Assumptions!$D$12-8),0)</f>
        <v/>
      </c>
      <c r="Z41" s="14">
        <f>IF(Assumptions!$D$22=1,0,Assumptions!$D$21*(T41-Y41+F41+G41+W41))</f>
        <v/>
      </c>
    </row>
    <row r="42">
      <c r="A42" t="n">
        <v>37</v>
      </c>
      <c r="B42">
        <f>IF(A42=0,0,ROUNDUP(A42/4,0))</f>
        <v/>
      </c>
      <c r="C42">
        <f>IF(A42=0,"Pre-close","Y"&amp;B42&amp;" Q"&amp;(A42-(B42-1)*4))</f>
        <v/>
      </c>
      <c r="D42" s="14">
        <f>IF(A42=0,0,Assumptions!$D$6+IF(A42&gt;=1+Assumptions!$D$8,Assumptions!$D$7,0))</f>
        <v/>
      </c>
      <c r="E42" s="14">
        <f>IF(A42&lt;=Assumptions!$D$12,D42,V41)</f>
        <v/>
      </c>
      <c r="F42" s="14">
        <f>IF(OR(A42=0,A42&gt;Assumptions!$D$13),0,IF(A42&lt;=Assumptions!$D$12,Assumptions!$D$10,Assumptions!$D$11)*E42/4)-IF(Assumptions!$D$22=1,Assumptions!$D$21*(T42-Y42),0)</f>
        <v/>
      </c>
      <c r="G42" s="14">
        <f>IF(A42=1+Assumptions!$D$8,Assumptions!$D$7*Assumptions!$D$10*(Assumptions!$D$8/4)*(1+Assumptions!$D$14*(Assumptions!$D$8/4)/2),0)</f>
        <v/>
      </c>
      <c r="H42" s="14">
        <f>IF(A42=1,MIN(Assumptions!$D$15,Assumptions!$D$17*Assumptions!$D$6),IF(A42=1+Assumptions!$D$8,MIN(Assumptions!$D$15,Assumptions!$D$17*Assumptions!$D$9)-MIN(Assumptions!$D$15,Assumptions!$D$17*Assumptions!$D$6),0))</f>
        <v/>
      </c>
      <c r="I42" s="14">
        <f>F42+G42+H42</f>
        <v/>
      </c>
      <c r="J42" s="14">
        <f>Assumptions!$D$24/4*X42</f>
        <v/>
      </c>
      <c r="K42" s="14">
        <f>Assumptions!$D$25/4*X42</f>
        <v/>
      </c>
      <c r="L42" s="14">
        <f>Assumptions!$D$26/4*X42</f>
        <v/>
      </c>
      <c r="M42" s="14">
        <f>Assumptions!$D$27/4*X42</f>
        <v/>
      </c>
      <c r="N42" s="14">
        <f>Assumptions!$D$28/4*X42</f>
        <v/>
      </c>
      <c r="O42" s="14">
        <f>IF(A42=0,Assumptions!$D$16+Assumptions!$D$31+Assumptions!$D$32,IF(A42=1,Assumptions!$D$15-Assumptions!$D$16,0))</f>
        <v/>
      </c>
      <c r="P42" s="14">
        <f>Assumptions!$D$29/4*X42</f>
        <v/>
      </c>
      <c r="Q42" s="14">
        <f>SUM(J42:P42)+Z42</f>
        <v/>
      </c>
      <c r="R42" s="14">
        <f>I42-Q42</f>
        <v/>
      </c>
      <c r="S42" s="14">
        <f>S41+R42</f>
        <v/>
      </c>
      <c r="T42" s="14">
        <f>IF(OR(A42=0,A42&gt;Assumptions!$D$12),0,D42*(1-Assumptions!$D$19)/Assumptions!$D$12+IF(A42=1+Assumptions!$D$8,Assumptions!$D$7*(1-Assumptions!$D$19)/Assumptions!$D$12*Assumptions!$D$8,0))+Y42</f>
        <v/>
      </c>
      <c r="U42" s="14">
        <f>IF(A42&gt;Assumptions!$D$12,V41*Assumptions!$D$23,0)</f>
        <v/>
      </c>
      <c r="V42" s="14">
        <f>V41*(1-IF(A42&gt;Assumptions!$D$12,Assumptions!$D$23,0))+T42</f>
        <v/>
      </c>
      <c r="W42" s="14">
        <f>IF(OR(A42=0,A42&gt;Assumptions!$D$13),0,Assumptions!$D$18/4)</f>
        <v/>
      </c>
      <c r="X42" s="15">
        <f>IF(A42=0,0,IF(A42&gt;Assumptions!$D$12,Assumptions!$D$30,1))</f>
        <v/>
      </c>
      <c r="Y42" s="14">
        <f>IF(AND(A42&gt;=9,A42&lt;=Assumptions!$D$12),Assumptions!$D$20*Assumptions!$D$10*Assumptions!$D$9*Assumptions!$D$12/4/(Assumptions!$D$12-8),0)</f>
        <v/>
      </c>
      <c r="Z42" s="14">
        <f>IF(Assumptions!$D$22=1,0,Assumptions!$D$21*(T42-Y42+F42+G42+W42))</f>
        <v/>
      </c>
    </row>
    <row r="43">
      <c r="A43" t="n">
        <v>38</v>
      </c>
      <c r="B43">
        <f>IF(A43=0,0,ROUNDUP(A43/4,0))</f>
        <v/>
      </c>
      <c r="C43">
        <f>IF(A43=0,"Pre-close","Y"&amp;B43&amp;" Q"&amp;(A43-(B43-1)*4))</f>
        <v/>
      </c>
      <c r="D43" s="14">
        <f>IF(A43=0,0,Assumptions!$D$6+IF(A43&gt;=1+Assumptions!$D$8,Assumptions!$D$7,0))</f>
        <v/>
      </c>
      <c r="E43" s="14">
        <f>IF(A43&lt;=Assumptions!$D$12,D43,V42)</f>
        <v/>
      </c>
      <c r="F43" s="14">
        <f>IF(OR(A43=0,A43&gt;Assumptions!$D$13),0,IF(A43&lt;=Assumptions!$D$12,Assumptions!$D$10,Assumptions!$D$11)*E43/4)-IF(Assumptions!$D$22=1,Assumptions!$D$21*(T43-Y43),0)</f>
        <v/>
      </c>
      <c r="G43" s="14">
        <f>IF(A43=1+Assumptions!$D$8,Assumptions!$D$7*Assumptions!$D$10*(Assumptions!$D$8/4)*(1+Assumptions!$D$14*(Assumptions!$D$8/4)/2),0)</f>
        <v/>
      </c>
      <c r="H43" s="14">
        <f>IF(A43=1,MIN(Assumptions!$D$15,Assumptions!$D$17*Assumptions!$D$6),IF(A43=1+Assumptions!$D$8,MIN(Assumptions!$D$15,Assumptions!$D$17*Assumptions!$D$9)-MIN(Assumptions!$D$15,Assumptions!$D$17*Assumptions!$D$6),0))</f>
        <v/>
      </c>
      <c r="I43" s="14">
        <f>F43+G43+H43</f>
        <v/>
      </c>
      <c r="J43" s="14">
        <f>Assumptions!$D$24/4*X43</f>
        <v/>
      </c>
      <c r="K43" s="14">
        <f>Assumptions!$D$25/4*X43</f>
        <v/>
      </c>
      <c r="L43" s="14">
        <f>Assumptions!$D$26/4*X43</f>
        <v/>
      </c>
      <c r="M43" s="14">
        <f>Assumptions!$D$27/4*X43</f>
        <v/>
      </c>
      <c r="N43" s="14">
        <f>Assumptions!$D$28/4*X43</f>
        <v/>
      </c>
      <c r="O43" s="14">
        <f>IF(A43=0,Assumptions!$D$16+Assumptions!$D$31+Assumptions!$D$32,IF(A43=1,Assumptions!$D$15-Assumptions!$D$16,0))</f>
        <v/>
      </c>
      <c r="P43" s="14">
        <f>Assumptions!$D$29/4*X43</f>
        <v/>
      </c>
      <c r="Q43" s="14">
        <f>SUM(J43:P43)+Z43</f>
        <v/>
      </c>
      <c r="R43" s="14">
        <f>I43-Q43</f>
        <v/>
      </c>
      <c r="S43" s="14">
        <f>S42+R43</f>
        <v/>
      </c>
      <c r="T43" s="14">
        <f>IF(OR(A43=0,A43&gt;Assumptions!$D$12),0,D43*(1-Assumptions!$D$19)/Assumptions!$D$12+IF(A43=1+Assumptions!$D$8,Assumptions!$D$7*(1-Assumptions!$D$19)/Assumptions!$D$12*Assumptions!$D$8,0))+Y43</f>
        <v/>
      </c>
      <c r="U43" s="14">
        <f>IF(A43&gt;Assumptions!$D$12,V42*Assumptions!$D$23,0)</f>
        <v/>
      </c>
      <c r="V43" s="14">
        <f>V42*(1-IF(A43&gt;Assumptions!$D$12,Assumptions!$D$23,0))+T43</f>
        <v/>
      </c>
      <c r="W43" s="14">
        <f>IF(OR(A43=0,A43&gt;Assumptions!$D$13),0,Assumptions!$D$18/4)</f>
        <v/>
      </c>
      <c r="X43" s="15">
        <f>IF(A43=0,0,IF(A43&gt;Assumptions!$D$12,Assumptions!$D$30,1))</f>
        <v/>
      </c>
      <c r="Y43" s="14">
        <f>IF(AND(A43&gt;=9,A43&lt;=Assumptions!$D$12),Assumptions!$D$20*Assumptions!$D$10*Assumptions!$D$9*Assumptions!$D$12/4/(Assumptions!$D$12-8),0)</f>
        <v/>
      </c>
      <c r="Z43" s="14">
        <f>IF(Assumptions!$D$22=1,0,Assumptions!$D$21*(T43-Y43+F43+G43+W43))</f>
        <v/>
      </c>
    </row>
    <row r="44">
      <c r="A44" t="n">
        <v>39</v>
      </c>
      <c r="B44">
        <f>IF(A44=0,0,ROUNDUP(A44/4,0))</f>
        <v/>
      </c>
      <c r="C44">
        <f>IF(A44=0,"Pre-close","Y"&amp;B44&amp;" Q"&amp;(A44-(B44-1)*4))</f>
        <v/>
      </c>
      <c r="D44" s="14">
        <f>IF(A44=0,0,Assumptions!$D$6+IF(A44&gt;=1+Assumptions!$D$8,Assumptions!$D$7,0))</f>
        <v/>
      </c>
      <c r="E44" s="14">
        <f>IF(A44&lt;=Assumptions!$D$12,D44,V43)</f>
        <v/>
      </c>
      <c r="F44" s="14">
        <f>IF(OR(A44=0,A44&gt;Assumptions!$D$13),0,IF(A44&lt;=Assumptions!$D$12,Assumptions!$D$10,Assumptions!$D$11)*E44/4)-IF(Assumptions!$D$22=1,Assumptions!$D$21*(T44-Y44),0)</f>
        <v/>
      </c>
      <c r="G44" s="14">
        <f>IF(A44=1+Assumptions!$D$8,Assumptions!$D$7*Assumptions!$D$10*(Assumptions!$D$8/4)*(1+Assumptions!$D$14*(Assumptions!$D$8/4)/2),0)</f>
        <v/>
      </c>
      <c r="H44" s="14">
        <f>IF(A44=1,MIN(Assumptions!$D$15,Assumptions!$D$17*Assumptions!$D$6),IF(A44=1+Assumptions!$D$8,MIN(Assumptions!$D$15,Assumptions!$D$17*Assumptions!$D$9)-MIN(Assumptions!$D$15,Assumptions!$D$17*Assumptions!$D$6),0))</f>
        <v/>
      </c>
      <c r="I44" s="14">
        <f>F44+G44+H44</f>
        <v/>
      </c>
      <c r="J44" s="14">
        <f>Assumptions!$D$24/4*X44</f>
        <v/>
      </c>
      <c r="K44" s="14">
        <f>Assumptions!$D$25/4*X44</f>
        <v/>
      </c>
      <c r="L44" s="14">
        <f>Assumptions!$D$26/4*X44</f>
        <v/>
      </c>
      <c r="M44" s="14">
        <f>Assumptions!$D$27/4*X44</f>
        <v/>
      </c>
      <c r="N44" s="14">
        <f>Assumptions!$D$28/4*X44</f>
        <v/>
      </c>
      <c r="O44" s="14">
        <f>IF(A44=0,Assumptions!$D$16+Assumptions!$D$31+Assumptions!$D$32,IF(A44=1,Assumptions!$D$15-Assumptions!$D$16,0))</f>
        <v/>
      </c>
      <c r="P44" s="14">
        <f>Assumptions!$D$29/4*X44</f>
        <v/>
      </c>
      <c r="Q44" s="14">
        <f>SUM(J44:P44)+Z44</f>
        <v/>
      </c>
      <c r="R44" s="14">
        <f>I44-Q44</f>
        <v/>
      </c>
      <c r="S44" s="14">
        <f>S43+R44</f>
        <v/>
      </c>
      <c r="T44" s="14">
        <f>IF(OR(A44=0,A44&gt;Assumptions!$D$12),0,D44*(1-Assumptions!$D$19)/Assumptions!$D$12+IF(A44=1+Assumptions!$D$8,Assumptions!$D$7*(1-Assumptions!$D$19)/Assumptions!$D$12*Assumptions!$D$8,0))+Y44</f>
        <v/>
      </c>
      <c r="U44" s="14">
        <f>IF(A44&gt;Assumptions!$D$12,V43*Assumptions!$D$23,0)</f>
        <v/>
      </c>
      <c r="V44" s="14">
        <f>V43*(1-IF(A44&gt;Assumptions!$D$12,Assumptions!$D$23,0))+T44</f>
        <v/>
      </c>
      <c r="W44" s="14">
        <f>IF(OR(A44=0,A44&gt;Assumptions!$D$13),0,Assumptions!$D$18/4)</f>
        <v/>
      </c>
      <c r="X44" s="15">
        <f>IF(A44=0,0,IF(A44&gt;Assumptions!$D$12,Assumptions!$D$30,1))</f>
        <v/>
      </c>
      <c r="Y44" s="14">
        <f>IF(AND(A44&gt;=9,A44&lt;=Assumptions!$D$12),Assumptions!$D$20*Assumptions!$D$10*Assumptions!$D$9*Assumptions!$D$12/4/(Assumptions!$D$12-8),0)</f>
        <v/>
      </c>
      <c r="Z44" s="14">
        <f>IF(Assumptions!$D$22=1,0,Assumptions!$D$21*(T44-Y44+F44+G44+W44))</f>
        <v/>
      </c>
    </row>
    <row r="45">
      <c r="A45" t="n">
        <v>40</v>
      </c>
      <c r="B45">
        <f>IF(A45=0,0,ROUNDUP(A45/4,0))</f>
        <v/>
      </c>
      <c r="C45">
        <f>IF(A45=0,"Pre-close","Y"&amp;B45&amp;" Q"&amp;(A45-(B45-1)*4))</f>
        <v/>
      </c>
      <c r="D45" s="14">
        <f>IF(A45=0,0,Assumptions!$D$6+IF(A45&gt;=1+Assumptions!$D$8,Assumptions!$D$7,0))</f>
        <v/>
      </c>
      <c r="E45" s="14">
        <f>IF(A45&lt;=Assumptions!$D$12,D45,V44)</f>
        <v/>
      </c>
      <c r="F45" s="14">
        <f>IF(OR(A45=0,A45&gt;Assumptions!$D$13),0,IF(A45&lt;=Assumptions!$D$12,Assumptions!$D$10,Assumptions!$D$11)*E45/4)-IF(Assumptions!$D$22=1,Assumptions!$D$21*(T45-Y45),0)</f>
        <v/>
      </c>
      <c r="G45" s="14">
        <f>IF(A45=1+Assumptions!$D$8,Assumptions!$D$7*Assumptions!$D$10*(Assumptions!$D$8/4)*(1+Assumptions!$D$14*(Assumptions!$D$8/4)/2),0)</f>
        <v/>
      </c>
      <c r="H45" s="14">
        <f>IF(A45=1,MIN(Assumptions!$D$15,Assumptions!$D$17*Assumptions!$D$6),IF(A45=1+Assumptions!$D$8,MIN(Assumptions!$D$15,Assumptions!$D$17*Assumptions!$D$9)-MIN(Assumptions!$D$15,Assumptions!$D$17*Assumptions!$D$6),0))</f>
        <v/>
      </c>
      <c r="I45" s="14">
        <f>F45+G45+H45</f>
        <v/>
      </c>
      <c r="J45" s="14">
        <f>Assumptions!$D$24/4*X45</f>
        <v/>
      </c>
      <c r="K45" s="14">
        <f>Assumptions!$D$25/4*X45</f>
        <v/>
      </c>
      <c r="L45" s="14">
        <f>Assumptions!$D$26/4*X45</f>
        <v/>
      </c>
      <c r="M45" s="14">
        <f>Assumptions!$D$27/4*X45</f>
        <v/>
      </c>
      <c r="N45" s="14">
        <f>Assumptions!$D$28/4*X45</f>
        <v/>
      </c>
      <c r="O45" s="14">
        <f>IF(A45=0,Assumptions!$D$16+Assumptions!$D$31+Assumptions!$D$32,IF(A45=1,Assumptions!$D$15-Assumptions!$D$16,0))</f>
        <v/>
      </c>
      <c r="P45" s="14">
        <f>Assumptions!$D$29/4*X45</f>
        <v/>
      </c>
      <c r="Q45" s="14">
        <f>SUM(J45:P45)+Z45</f>
        <v/>
      </c>
      <c r="R45" s="14">
        <f>I45-Q45</f>
        <v/>
      </c>
      <c r="S45" s="14">
        <f>S44+R45</f>
        <v/>
      </c>
      <c r="T45" s="14">
        <f>IF(OR(A45=0,A45&gt;Assumptions!$D$12),0,D45*(1-Assumptions!$D$19)/Assumptions!$D$12+IF(A45=1+Assumptions!$D$8,Assumptions!$D$7*(1-Assumptions!$D$19)/Assumptions!$D$12*Assumptions!$D$8,0))+Y45</f>
        <v/>
      </c>
      <c r="U45" s="14">
        <f>IF(A45&gt;Assumptions!$D$12,V44*Assumptions!$D$23,0)</f>
        <v/>
      </c>
      <c r="V45" s="14">
        <f>V44*(1-IF(A45&gt;Assumptions!$D$12,Assumptions!$D$23,0))+T45</f>
        <v/>
      </c>
      <c r="W45" s="14">
        <f>IF(OR(A45=0,A45&gt;Assumptions!$D$13),0,Assumptions!$D$18/4)</f>
        <v/>
      </c>
      <c r="X45" s="15">
        <f>IF(A45=0,0,IF(A45&gt;Assumptions!$D$12,Assumptions!$D$30,1))</f>
        <v/>
      </c>
      <c r="Y45" s="14">
        <f>IF(AND(A45&gt;=9,A45&lt;=Assumptions!$D$12),Assumptions!$D$20*Assumptions!$D$10*Assumptions!$D$9*Assumptions!$D$12/4/(Assumptions!$D$12-8),0)</f>
        <v/>
      </c>
      <c r="Z45" s="14">
        <f>IF(Assumptions!$D$22=1,0,Assumptions!$D$21*(T45-Y45+F45+G45+W45))</f>
        <v/>
      </c>
    </row>
    <row r="46">
      <c r="C46" s="7" t="inlineStr">
        <is>
          <t>TOTAL</t>
        </is>
      </c>
      <c r="F46" s="16">
        <f>SUM(F5:F45)</f>
        <v/>
      </c>
      <c r="G46" s="16">
        <f>SUM(G5:G45)</f>
        <v/>
      </c>
      <c r="H46" s="16">
        <f>SUM(H5:H45)</f>
        <v/>
      </c>
      <c r="I46" s="16">
        <f>SUM(I5:I45)</f>
        <v/>
      </c>
      <c r="J46" s="16">
        <f>SUM(J5:J45)</f>
        <v/>
      </c>
      <c r="K46" s="16">
        <f>SUM(K5:K45)</f>
        <v/>
      </c>
      <c r="L46" s="16">
        <f>SUM(L5:L45)</f>
        <v/>
      </c>
      <c r="M46" s="16">
        <f>SUM(M5:M45)</f>
        <v/>
      </c>
      <c r="N46" s="16">
        <f>SUM(N5:N45)</f>
        <v/>
      </c>
      <c r="O46" s="16">
        <f>SUM(O5:O45)</f>
        <v/>
      </c>
      <c r="P46" s="16">
        <f>SUM(P5:P45)</f>
        <v/>
      </c>
      <c r="Q46" s="16">
        <f>SUM(Q5:Q45)</f>
        <v/>
      </c>
      <c r="R46" s="16">
        <f>SUM(R5:R45)</f>
        <v/>
      </c>
      <c r="T46" s="16">
        <f>SUM(T5:T45)</f>
        <v/>
      </c>
      <c r="U46" s="16">
        <f>SUM(U5:U45)</f>
        <v/>
      </c>
      <c r="W46" s="16">
        <f>SUM(W5:W45)</f>
        <v/>
      </c>
      <c r="Y46" s="16">
        <f>SUM(Y5:Y45)</f>
        <v/>
      </c>
      <c r="Z46" s="16">
        <f>SUM(Z5:Z45)</f>
        <v/>
      </c>
    </row>
    <row r="48">
      <c r="A48" s="7" t="inlineStr">
        <is>
          <t>KEY FIGURES</t>
        </is>
      </c>
    </row>
    <row r="49">
      <c r="A49" t="inlineStr">
        <is>
          <t>Total commitments</t>
        </is>
      </c>
      <c r="B49" s="14">
        <f>Assumptions!$D$9</f>
        <v/>
      </c>
    </row>
    <row r="50">
      <c r="A50" t="inlineStr">
        <is>
          <t>Total management fees over fund life</t>
        </is>
      </c>
      <c r="B50" s="14">
        <f>F46+G46</f>
        <v/>
      </c>
    </row>
    <row r="51">
      <c r="A51" t="inlineStr">
        <is>
          <t>Management fees as % of commitments</t>
        </is>
      </c>
      <c r="B51" s="17">
        <f>(F46+G46)/Assumptions!$D$9</f>
        <v/>
      </c>
    </row>
    <row r="52">
      <c r="A52" t="inlineStr">
        <is>
          <t>Fund expenses over fund life (borne by fund)</t>
        </is>
      </c>
      <c r="B52" s="14">
        <f>W46</f>
        <v/>
      </c>
    </row>
    <row r="53">
      <c r="A53" t="inlineStr">
        <is>
          <t>Org. expenses reimbursed by fund</t>
        </is>
      </c>
      <c r="B53" s="14">
        <f>H46</f>
        <v/>
      </c>
    </row>
    <row r="54">
      <c r="A54" t="inlineStr">
        <is>
          <t>Org. expenses NOT reimbursed (GP cost)</t>
        </is>
      </c>
      <c r="B54" s="14">
        <f>Assumptions!$D$15-H46</f>
        <v/>
      </c>
    </row>
    <row r="55">
      <c r="A55" t="inlineStr">
        <is>
          <t>Total deployed incl. recycled proceeds</t>
        </is>
      </c>
      <c r="B55" s="14">
        <f>T46</f>
        <v/>
      </c>
    </row>
    <row r="56">
      <c r="A56" t="inlineStr">
        <is>
          <t>of which recycled proceeds</t>
        </is>
      </c>
      <c r="B56" s="14">
        <f>Y46</f>
        <v/>
      </c>
    </row>
    <row r="57">
      <c r="A57" t="inlineStr">
        <is>
          <t>Deployed from LP drawdowns as % of commitments</t>
        </is>
      </c>
      <c r="B57" s="17">
        <f>(T46-Y46)/Assumptions!$D$9</f>
        <v/>
      </c>
    </row>
    <row r="58">
      <c r="A58" t="inlineStr">
        <is>
          <t>GP commitment paid in cash over fund life</t>
        </is>
      </c>
      <c r="B58" s="14">
        <f>Z46</f>
        <v/>
      </c>
    </row>
    <row r="59">
      <c r="A59" t="inlineStr">
        <is>
          <t>Cash received by mgmt co on first-close day</t>
        </is>
      </c>
      <c r="B59" s="14">
        <f>I6</f>
        <v/>
      </c>
    </row>
    <row r="60">
      <c r="A60" t="inlineStr">
        <is>
          <t>Steady-state quarterly fee after final close</t>
        </is>
      </c>
      <c r="B60" s="14">
        <f>INDEX(F5:F45,2+Assumptions!$D$8)</f>
        <v/>
      </c>
    </row>
    <row r="61">
      <c r="A61" t="inlineStr">
        <is>
          <t>Lowest cumulative cash during investment period</t>
        </is>
      </c>
      <c r="B61" s="14">
        <f>MIN(S5:S25)</f>
        <v/>
      </c>
    </row>
    <row r="62">
      <c r="A62" t="inlineStr">
        <is>
          <t>Quarter of that low point</t>
        </is>
      </c>
      <c r="B62">
        <f>INDEX(C5:C45,MATCH(MIN(S5:S25),S5:S25,0))</f>
        <v/>
      </c>
    </row>
    <row r="63">
      <c r="A63" t="inlineStr">
        <is>
          <t>Lowest cumulative cash over full term</t>
        </is>
      </c>
      <c r="B63" s="14">
        <f>MIN(S5:S45)</f>
        <v/>
      </c>
    </row>
    <row r="64">
      <c r="A64" t="inlineStr">
        <is>
          <t>Cumulative cash at end of fund term (10 years)</t>
        </is>
      </c>
      <c r="B64" s="14">
        <f>S45</f>
        <v/>
      </c>
    </row>
    <row r="66">
      <c r="A66" s="7" t="inlineStr">
        <is>
          <t>LP VIEW — WHERE 1,000,000 OF COMMITMENT GOES</t>
        </is>
      </c>
    </row>
    <row r="67">
      <c r="A67" t="inlineStr">
        <is>
          <t>Management fees over 10 years (incl. equalisation)</t>
        </is>
      </c>
      <c r="B67" s="14">
        <f>(F46+G46)/Assumptions!$D$9*1000000</f>
        <v/>
      </c>
    </row>
    <row r="68">
      <c r="A68" t="inlineStr">
        <is>
          <t>Fund expenses</t>
        </is>
      </c>
      <c r="B68" s="14">
        <f>W46/Assumptions!$D$9*1000000</f>
        <v/>
      </c>
    </row>
    <row r="69">
      <c r="A69" t="inlineStr">
        <is>
          <t>Organisational expenses (capped)</t>
        </is>
      </c>
      <c r="B69" s="14">
        <f>H46/Assumptions!$D$9*1000000</f>
        <v/>
      </c>
    </row>
    <row r="70">
      <c r="A70" t="inlineStr">
        <is>
          <t>Invested into portfolio companies (from drawdowns)</t>
        </is>
      </c>
      <c r="B70" s="14">
        <f>1000000-B67-B68-B69</f>
        <v/>
      </c>
    </row>
    <row r="71">
      <c r="A71" t="inlineStr">
        <is>
          <t>Total = commitment</t>
        </is>
      </c>
      <c r="B71" s="14">
        <f>SUM(B67:B70)</f>
        <v/>
      </c>
    </row>
    <row r="72">
      <c r="A72" t="inlineStr">
        <is>
          <t>Plus recycled proceeds — total working in companies</t>
        </is>
      </c>
      <c r="B72" s="14">
        <f>B70+Y46/Assumptions!$D$9*1000000</f>
        <v/>
      </c>
    </row>
    <row r="73">
      <c r="A73" t="inlineStr">
        <is>
          <t>Catch-up paid by a 1,000,000 LP joining at final close</t>
        </is>
      </c>
      <c r="B73" s="14">
        <f>1000000*Assumptions!$D$10*(Assumptions!$D$8/4)*(1+Assumptions!$D$14*(Assumptions!$D$8/4)/2)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Z7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6" customWidth="1" min="2" max="2"/>
    <col width="12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  <col width="13" customWidth="1" min="25" max="25"/>
    <col width="13" customWidth="1" min="26" max="26"/>
  </cols>
  <sheetData>
    <row r="1">
      <c r="A1" s="1" t="inlineStr">
        <is>
          <t>Quarterly cash flow of the management company — Ceiling — EUR 50m</t>
        </is>
      </c>
    </row>
    <row r="2">
      <c r="A2" t="inlineStr">
        <is>
          <t>All inputs live on the Assumptions sheet. Nothing here is typed except the quarter number.</t>
        </is>
      </c>
    </row>
    <row r="4">
      <c r="A4" s="13" t="inlineStr">
        <is>
          <t>Q</t>
        </is>
      </c>
      <c r="B4" s="13" t="inlineStr">
        <is>
          <t>Year</t>
        </is>
      </c>
      <c r="C4" s="13" t="inlineStr">
        <is>
          <t>Period</t>
        </is>
      </c>
      <c r="D4" s="13" t="inlineStr">
        <is>
          <t>Commitments in force</t>
        </is>
      </c>
      <c r="E4" s="13" t="inlineStr">
        <is>
          <t>Fee basis</t>
        </is>
      </c>
      <c r="F4" s="13" t="inlineStr">
        <is>
          <t>Mgmt fee regular</t>
        </is>
      </c>
      <c r="G4" s="13" t="inlineStr">
        <is>
          <t>Equalisation catch-up</t>
        </is>
      </c>
      <c r="H4" s="13" t="inlineStr">
        <is>
          <t>Org reimbursement</t>
        </is>
      </c>
      <c r="I4" s="13" t="inlineStr">
        <is>
          <t>TOTAL INFLOW</t>
        </is>
      </c>
      <c r="J4" s="13" t="inlineStr">
        <is>
          <t>Platform</t>
        </is>
      </c>
      <c r="K4" s="13" t="inlineStr">
        <is>
          <t>HK staff</t>
        </is>
      </c>
      <c r="L4" s="13" t="inlineStr">
        <is>
          <t>HK office</t>
        </is>
      </c>
      <c r="M4" s="13" t="inlineStr">
        <is>
          <t>Travel</t>
        </is>
      </c>
      <c r="N4" s="13" t="inlineStr">
        <is>
          <t>Other</t>
        </is>
      </c>
      <c r="O4" s="13" t="inlineStr">
        <is>
          <t>Formation costs paid by GP</t>
        </is>
      </c>
      <c r="P4" s="13" t="inlineStr">
        <is>
          <t>German advisory fee</t>
        </is>
      </c>
      <c r="Q4" s="13" t="inlineStr">
        <is>
          <t>TOTAL OUTFLOW</t>
        </is>
      </c>
      <c r="R4" s="13" t="inlineStr">
        <is>
          <t>NET CASH</t>
        </is>
      </c>
      <c r="S4" s="13" t="inlineStr">
        <is>
          <t>CUMULATIVE CASH</t>
        </is>
      </c>
      <c r="T4" s="13" t="inlineStr">
        <is>
          <t>Memo deployed (incl. recycled)</t>
        </is>
      </c>
      <c r="U4" s="13" t="inlineStr">
        <is>
          <t>Memo exits at cost</t>
        </is>
      </c>
      <c r="V4" s="13" t="inlineStr">
        <is>
          <t>Memo invested cost end</t>
        </is>
      </c>
      <c r="W4" s="13" t="inlineStr">
        <is>
          <t>Memo fund expenses</t>
        </is>
      </c>
      <c r="X4" s="13" t="inlineStr">
        <is>
          <t>Cost factor</t>
        </is>
      </c>
      <c r="Y4" s="13" t="inlineStr">
        <is>
          <t>Memo recycled proceeds reinvested</t>
        </is>
      </c>
      <c r="Z4" s="13" t="inlineStr">
        <is>
          <t>GP commitment paid in cash</t>
        </is>
      </c>
    </row>
    <row r="5">
      <c r="A5" t="n">
        <v>0</v>
      </c>
      <c r="B5">
        <f>IF(A5=0,0,ROUNDUP(A5/4,0))</f>
        <v/>
      </c>
      <c r="C5">
        <f>IF(A5=0,"Pre-close","Y"&amp;B5&amp;" Q"&amp;(A5-(B5-1)*4))</f>
        <v/>
      </c>
      <c r="D5" s="14">
        <f>IF(A5=0,0,Assumptions!$E$6+IF(A5&gt;=1+Assumptions!$E$8,Assumptions!$E$7,0))</f>
        <v/>
      </c>
      <c r="E5" s="14" t="n">
        <v>0</v>
      </c>
      <c r="F5" s="14">
        <f>IF(OR(A5=0,A5&gt;Assumptions!$E$13),0,IF(A5&lt;=Assumptions!$E$12,Assumptions!$E$10,Assumptions!$E$11)*E5/4)-IF(Assumptions!$E$22=1,Assumptions!$E$21*(T5-Y5),0)</f>
        <v/>
      </c>
      <c r="G5" s="14">
        <f>IF(A5=1+Assumptions!$E$8,Assumptions!$E$7*Assumptions!$E$10*(Assumptions!$E$8/4)*(1+Assumptions!$E$14*(Assumptions!$E$8/4)/2),0)</f>
        <v/>
      </c>
      <c r="H5" s="14">
        <f>IF(A5=1,MIN(Assumptions!$E$15,Assumptions!$E$17*Assumptions!$E$6),IF(A5=1+Assumptions!$E$8,MIN(Assumptions!$E$15,Assumptions!$E$17*Assumptions!$E$9)-MIN(Assumptions!$E$15,Assumptions!$E$17*Assumptions!$E$6),0))</f>
        <v/>
      </c>
      <c r="I5" s="14">
        <f>F5+G5+H5</f>
        <v/>
      </c>
      <c r="J5" s="14">
        <f>Assumptions!$E$24/4*X5</f>
        <v/>
      </c>
      <c r="K5" s="14">
        <f>Assumptions!$E$25/4*X5</f>
        <v/>
      </c>
      <c r="L5" s="14">
        <f>Assumptions!$E$26/4*X5</f>
        <v/>
      </c>
      <c r="M5" s="14">
        <f>Assumptions!$E$27/4*X5</f>
        <v/>
      </c>
      <c r="N5" s="14">
        <f>Assumptions!$E$28/4*X5</f>
        <v/>
      </c>
      <c r="O5" s="14">
        <f>IF(A5=0,Assumptions!$E$16+Assumptions!$E$31+Assumptions!$E$32,IF(A5=1,Assumptions!$E$15-Assumptions!$E$16,0))</f>
        <v/>
      </c>
      <c r="P5" s="14">
        <f>Assumptions!$E$29/4*X5</f>
        <v/>
      </c>
      <c r="Q5" s="14">
        <f>SUM(J5:P5)+Z5</f>
        <v/>
      </c>
      <c r="R5" s="14">
        <f>I5-Q5</f>
        <v/>
      </c>
      <c r="S5" s="14">
        <f>R5</f>
        <v/>
      </c>
      <c r="T5" s="14">
        <f>IF(OR(A5=0,A5&gt;Assumptions!$E$12),0,D5*(1-Assumptions!$E$19)/Assumptions!$E$12+IF(A5=1+Assumptions!$E$8,Assumptions!$E$7*(1-Assumptions!$E$19)/Assumptions!$E$12*Assumptions!$E$8,0))+Y5</f>
        <v/>
      </c>
      <c r="U5" s="14" t="n">
        <v>0</v>
      </c>
      <c r="V5" s="14">
        <f>T5</f>
        <v/>
      </c>
      <c r="W5" s="14">
        <f>IF(OR(A5=0,A5&gt;Assumptions!$E$13),0,Assumptions!$E$18/4)</f>
        <v/>
      </c>
      <c r="X5" s="15">
        <f>IF(A5=0,0,IF(A5&gt;Assumptions!$E$12,Assumptions!$E$30,1))</f>
        <v/>
      </c>
      <c r="Y5" s="14">
        <f>IF(AND(A5&gt;=9,A5&lt;=Assumptions!$E$12),Assumptions!$E$20*Assumptions!$E$10*Assumptions!$E$9*Assumptions!$E$12/4/(Assumptions!$E$12-8),0)</f>
        <v/>
      </c>
      <c r="Z5" s="14">
        <f>IF(Assumptions!$E$22=1,0,Assumptions!$E$21*(T5-Y5+F5+G5+W5))</f>
        <v/>
      </c>
    </row>
    <row r="6">
      <c r="A6" t="n">
        <v>1</v>
      </c>
      <c r="B6">
        <f>IF(A6=0,0,ROUNDUP(A6/4,0))</f>
        <v/>
      </c>
      <c r="C6">
        <f>IF(A6=0,"Pre-close","Y"&amp;B6&amp;" Q"&amp;(A6-(B6-1)*4))</f>
        <v/>
      </c>
      <c r="D6" s="14">
        <f>IF(A6=0,0,Assumptions!$E$6+IF(A6&gt;=1+Assumptions!$E$8,Assumptions!$E$7,0))</f>
        <v/>
      </c>
      <c r="E6" s="14">
        <f>IF(A6&lt;=Assumptions!$E$12,D6,V5)</f>
        <v/>
      </c>
      <c r="F6" s="14">
        <f>IF(OR(A6=0,A6&gt;Assumptions!$E$13),0,IF(A6&lt;=Assumptions!$E$12,Assumptions!$E$10,Assumptions!$E$11)*E6/4)-IF(Assumptions!$E$22=1,Assumptions!$E$21*(T6-Y6),0)</f>
        <v/>
      </c>
      <c r="G6" s="14">
        <f>IF(A6=1+Assumptions!$E$8,Assumptions!$E$7*Assumptions!$E$10*(Assumptions!$E$8/4)*(1+Assumptions!$E$14*(Assumptions!$E$8/4)/2),0)</f>
        <v/>
      </c>
      <c r="H6" s="14">
        <f>IF(A6=1,MIN(Assumptions!$E$15,Assumptions!$E$17*Assumptions!$E$6),IF(A6=1+Assumptions!$E$8,MIN(Assumptions!$E$15,Assumptions!$E$17*Assumptions!$E$9)-MIN(Assumptions!$E$15,Assumptions!$E$17*Assumptions!$E$6),0))</f>
        <v/>
      </c>
      <c r="I6" s="14">
        <f>F6+G6+H6</f>
        <v/>
      </c>
      <c r="J6" s="14">
        <f>Assumptions!$E$24/4*X6</f>
        <v/>
      </c>
      <c r="K6" s="14">
        <f>Assumptions!$E$25/4*X6</f>
        <v/>
      </c>
      <c r="L6" s="14">
        <f>Assumptions!$E$26/4*X6</f>
        <v/>
      </c>
      <c r="M6" s="14">
        <f>Assumptions!$E$27/4*X6</f>
        <v/>
      </c>
      <c r="N6" s="14">
        <f>Assumptions!$E$28/4*X6</f>
        <v/>
      </c>
      <c r="O6" s="14">
        <f>IF(A6=0,Assumptions!$E$16+Assumptions!$E$31+Assumptions!$E$32,IF(A6=1,Assumptions!$E$15-Assumptions!$E$16,0))</f>
        <v/>
      </c>
      <c r="P6" s="14">
        <f>Assumptions!$E$29/4*X6</f>
        <v/>
      </c>
      <c r="Q6" s="14">
        <f>SUM(J6:P6)+Z6</f>
        <v/>
      </c>
      <c r="R6" s="14">
        <f>I6-Q6</f>
        <v/>
      </c>
      <c r="S6" s="14">
        <f>S5+R6</f>
        <v/>
      </c>
      <c r="T6" s="14">
        <f>IF(OR(A6=0,A6&gt;Assumptions!$E$12),0,D6*(1-Assumptions!$E$19)/Assumptions!$E$12+IF(A6=1+Assumptions!$E$8,Assumptions!$E$7*(1-Assumptions!$E$19)/Assumptions!$E$12*Assumptions!$E$8,0))+Y6</f>
        <v/>
      </c>
      <c r="U6" s="14">
        <f>IF(A6&gt;Assumptions!$E$12,V5*Assumptions!$E$23,0)</f>
        <v/>
      </c>
      <c r="V6" s="14">
        <f>V5*(1-IF(A6&gt;Assumptions!$E$12,Assumptions!$E$23,0))+T6</f>
        <v/>
      </c>
      <c r="W6" s="14">
        <f>IF(OR(A6=0,A6&gt;Assumptions!$E$13),0,Assumptions!$E$18/4)</f>
        <v/>
      </c>
      <c r="X6" s="15">
        <f>IF(A6=0,0,IF(A6&gt;Assumptions!$E$12,Assumptions!$E$30,1))</f>
        <v/>
      </c>
      <c r="Y6" s="14">
        <f>IF(AND(A6&gt;=9,A6&lt;=Assumptions!$E$12),Assumptions!$E$20*Assumptions!$E$10*Assumptions!$E$9*Assumptions!$E$12/4/(Assumptions!$E$12-8),0)</f>
        <v/>
      </c>
      <c r="Z6" s="14">
        <f>IF(Assumptions!$E$22=1,0,Assumptions!$E$21*(T6-Y6+F6+G6+W6))</f>
        <v/>
      </c>
    </row>
    <row r="7">
      <c r="A7" t="n">
        <v>2</v>
      </c>
      <c r="B7">
        <f>IF(A7=0,0,ROUNDUP(A7/4,0))</f>
        <v/>
      </c>
      <c r="C7">
        <f>IF(A7=0,"Pre-close","Y"&amp;B7&amp;" Q"&amp;(A7-(B7-1)*4))</f>
        <v/>
      </c>
      <c r="D7" s="14">
        <f>IF(A7=0,0,Assumptions!$E$6+IF(A7&gt;=1+Assumptions!$E$8,Assumptions!$E$7,0))</f>
        <v/>
      </c>
      <c r="E7" s="14">
        <f>IF(A7&lt;=Assumptions!$E$12,D7,V6)</f>
        <v/>
      </c>
      <c r="F7" s="14">
        <f>IF(OR(A7=0,A7&gt;Assumptions!$E$13),0,IF(A7&lt;=Assumptions!$E$12,Assumptions!$E$10,Assumptions!$E$11)*E7/4)-IF(Assumptions!$E$22=1,Assumptions!$E$21*(T7-Y7),0)</f>
        <v/>
      </c>
      <c r="G7" s="14">
        <f>IF(A7=1+Assumptions!$E$8,Assumptions!$E$7*Assumptions!$E$10*(Assumptions!$E$8/4)*(1+Assumptions!$E$14*(Assumptions!$E$8/4)/2),0)</f>
        <v/>
      </c>
      <c r="H7" s="14">
        <f>IF(A7=1,MIN(Assumptions!$E$15,Assumptions!$E$17*Assumptions!$E$6),IF(A7=1+Assumptions!$E$8,MIN(Assumptions!$E$15,Assumptions!$E$17*Assumptions!$E$9)-MIN(Assumptions!$E$15,Assumptions!$E$17*Assumptions!$E$6),0))</f>
        <v/>
      </c>
      <c r="I7" s="14">
        <f>F7+G7+H7</f>
        <v/>
      </c>
      <c r="J7" s="14">
        <f>Assumptions!$E$24/4*X7</f>
        <v/>
      </c>
      <c r="K7" s="14">
        <f>Assumptions!$E$25/4*X7</f>
        <v/>
      </c>
      <c r="L7" s="14">
        <f>Assumptions!$E$26/4*X7</f>
        <v/>
      </c>
      <c r="M7" s="14">
        <f>Assumptions!$E$27/4*X7</f>
        <v/>
      </c>
      <c r="N7" s="14">
        <f>Assumptions!$E$28/4*X7</f>
        <v/>
      </c>
      <c r="O7" s="14">
        <f>IF(A7=0,Assumptions!$E$16+Assumptions!$E$31+Assumptions!$E$32,IF(A7=1,Assumptions!$E$15-Assumptions!$E$16,0))</f>
        <v/>
      </c>
      <c r="P7" s="14">
        <f>Assumptions!$E$29/4*X7</f>
        <v/>
      </c>
      <c r="Q7" s="14">
        <f>SUM(J7:P7)+Z7</f>
        <v/>
      </c>
      <c r="R7" s="14">
        <f>I7-Q7</f>
        <v/>
      </c>
      <c r="S7" s="14">
        <f>S6+R7</f>
        <v/>
      </c>
      <c r="T7" s="14">
        <f>IF(OR(A7=0,A7&gt;Assumptions!$E$12),0,D7*(1-Assumptions!$E$19)/Assumptions!$E$12+IF(A7=1+Assumptions!$E$8,Assumptions!$E$7*(1-Assumptions!$E$19)/Assumptions!$E$12*Assumptions!$E$8,0))+Y7</f>
        <v/>
      </c>
      <c r="U7" s="14">
        <f>IF(A7&gt;Assumptions!$E$12,V6*Assumptions!$E$23,0)</f>
        <v/>
      </c>
      <c r="V7" s="14">
        <f>V6*(1-IF(A7&gt;Assumptions!$E$12,Assumptions!$E$23,0))+T7</f>
        <v/>
      </c>
      <c r="W7" s="14">
        <f>IF(OR(A7=0,A7&gt;Assumptions!$E$13),0,Assumptions!$E$18/4)</f>
        <v/>
      </c>
      <c r="X7" s="15">
        <f>IF(A7=0,0,IF(A7&gt;Assumptions!$E$12,Assumptions!$E$30,1))</f>
        <v/>
      </c>
      <c r="Y7" s="14">
        <f>IF(AND(A7&gt;=9,A7&lt;=Assumptions!$E$12),Assumptions!$E$20*Assumptions!$E$10*Assumptions!$E$9*Assumptions!$E$12/4/(Assumptions!$E$12-8),0)</f>
        <v/>
      </c>
      <c r="Z7" s="14">
        <f>IF(Assumptions!$E$22=1,0,Assumptions!$E$21*(T7-Y7+F7+G7+W7))</f>
        <v/>
      </c>
    </row>
    <row r="8">
      <c r="A8" t="n">
        <v>3</v>
      </c>
      <c r="B8">
        <f>IF(A8=0,0,ROUNDUP(A8/4,0))</f>
        <v/>
      </c>
      <c r="C8">
        <f>IF(A8=0,"Pre-close","Y"&amp;B8&amp;" Q"&amp;(A8-(B8-1)*4))</f>
        <v/>
      </c>
      <c r="D8" s="14">
        <f>IF(A8=0,0,Assumptions!$E$6+IF(A8&gt;=1+Assumptions!$E$8,Assumptions!$E$7,0))</f>
        <v/>
      </c>
      <c r="E8" s="14">
        <f>IF(A8&lt;=Assumptions!$E$12,D8,V7)</f>
        <v/>
      </c>
      <c r="F8" s="14">
        <f>IF(OR(A8=0,A8&gt;Assumptions!$E$13),0,IF(A8&lt;=Assumptions!$E$12,Assumptions!$E$10,Assumptions!$E$11)*E8/4)-IF(Assumptions!$E$22=1,Assumptions!$E$21*(T8-Y8),0)</f>
        <v/>
      </c>
      <c r="G8" s="14">
        <f>IF(A8=1+Assumptions!$E$8,Assumptions!$E$7*Assumptions!$E$10*(Assumptions!$E$8/4)*(1+Assumptions!$E$14*(Assumptions!$E$8/4)/2),0)</f>
        <v/>
      </c>
      <c r="H8" s="14">
        <f>IF(A8=1,MIN(Assumptions!$E$15,Assumptions!$E$17*Assumptions!$E$6),IF(A8=1+Assumptions!$E$8,MIN(Assumptions!$E$15,Assumptions!$E$17*Assumptions!$E$9)-MIN(Assumptions!$E$15,Assumptions!$E$17*Assumptions!$E$6),0))</f>
        <v/>
      </c>
      <c r="I8" s="14">
        <f>F8+G8+H8</f>
        <v/>
      </c>
      <c r="J8" s="14">
        <f>Assumptions!$E$24/4*X8</f>
        <v/>
      </c>
      <c r="K8" s="14">
        <f>Assumptions!$E$25/4*X8</f>
        <v/>
      </c>
      <c r="L8" s="14">
        <f>Assumptions!$E$26/4*X8</f>
        <v/>
      </c>
      <c r="M8" s="14">
        <f>Assumptions!$E$27/4*X8</f>
        <v/>
      </c>
      <c r="N8" s="14">
        <f>Assumptions!$E$28/4*X8</f>
        <v/>
      </c>
      <c r="O8" s="14">
        <f>IF(A8=0,Assumptions!$E$16+Assumptions!$E$31+Assumptions!$E$32,IF(A8=1,Assumptions!$E$15-Assumptions!$E$16,0))</f>
        <v/>
      </c>
      <c r="P8" s="14">
        <f>Assumptions!$E$29/4*X8</f>
        <v/>
      </c>
      <c r="Q8" s="14">
        <f>SUM(J8:P8)+Z8</f>
        <v/>
      </c>
      <c r="R8" s="14">
        <f>I8-Q8</f>
        <v/>
      </c>
      <c r="S8" s="14">
        <f>S7+R8</f>
        <v/>
      </c>
      <c r="T8" s="14">
        <f>IF(OR(A8=0,A8&gt;Assumptions!$E$12),0,D8*(1-Assumptions!$E$19)/Assumptions!$E$12+IF(A8=1+Assumptions!$E$8,Assumptions!$E$7*(1-Assumptions!$E$19)/Assumptions!$E$12*Assumptions!$E$8,0))+Y8</f>
        <v/>
      </c>
      <c r="U8" s="14">
        <f>IF(A8&gt;Assumptions!$E$12,V7*Assumptions!$E$23,0)</f>
        <v/>
      </c>
      <c r="V8" s="14">
        <f>V7*(1-IF(A8&gt;Assumptions!$E$12,Assumptions!$E$23,0))+T8</f>
        <v/>
      </c>
      <c r="W8" s="14">
        <f>IF(OR(A8=0,A8&gt;Assumptions!$E$13),0,Assumptions!$E$18/4)</f>
        <v/>
      </c>
      <c r="X8" s="15">
        <f>IF(A8=0,0,IF(A8&gt;Assumptions!$E$12,Assumptions!$E$30,1))</f>
        <v/>
      </c>
      <c r="Y8" s="14">
        <f>IF(AND(A8&gt;=9,A8&lt;=Assumptions!$E$12),Assumptions!$E$20*Assumptions!$E$10*Assumptions!$E$9*Assumptions!$E$12/4/(Assumptions!$E$12-8),0)</f>
        <v/>
      </c>
      <c r="Z8" s="14">
        <f>IF(Assumptions!$E$22=1,0,Assumptions!$E$21*(T8-Y8+F8+G8+W8))</f>
        <v/>
      </c>
    </row>
    <row r="9">
      <c r="A9" t="n">
        <v>4</v>
      </c>
      <c r="B9">
        <f>IF(A9=0,0,ROUNDUP(A9/4,0))</f>
        <v/>
      </c>
      <c r="C9">
        <f>IF(A9=0,"Pre-close","Y"&amp;B9&amp;" Q"&amp;(A9-(B9-1)*4))</f>
        <v/>
      </c>
      <c r="D9" s="14">
        <f>IF(A9=0,0,Assumptions!$E$6+IF(A9&gt;=1+Assumptions!$E$8,Assumptions!$E$7,0))</f>
        <v/>
      </c>
      <c r="E9" s="14">
        <f>IF(A9&lt;=Assumptions!$E$12,D9,V8)</f>
        <v/>
      </c>
      <c r="F9" s="14">
        <f>IF(OR(A9=0,A9&gt;Assumptions!$E$13),0,IF(A9&lt;=Assumptions!$E$12,Assumptions!$E$10,Assumptions!$E$11)*E9/4)-IF(Assumptions!$E$22=1,Assumptions!$E$21*(T9-Y9),0)</f>
        <v/>
      </c>
      <c r="G9" s="14">
        <f>IF(A9=1+Assumptions!$E$8,Assumptions!$E$7*Assumptions!$E$10*(Assumptions!$E$8/4)*(1+Assumptions!$E$14*(Assumptions!$E$8/4)/2),0)</f>
        <v/>
      </c>
      <c r="H9" s="14">
        <f>IF(A9=1,MIN(Assumptions!$E$15,Assumptions!$E$17*Assumptions!$E$6),IF(A9=1+Assumptions!$E$8,MIN(Assumptions!$E$15,Assumptions!$E$17*Assumptions!$E$9)-MIN(Assumptions!$E$15,Assumptions!$E$17*Assumptions!$E$6),0))</f>
        <v/>
      </c>
      <c r="I9" s="14">
        <f>F9+G9+H9</f>
        <v/>
      </c>
      <c r="J9" s="14">
        <f>Assumptions!$E$24/4*X9</f>
        <v/>
      </c>
      <c r="K9" s="14">
        <f>Assumptions!$E$25/4*X9</f>
        <v/>
      </c>
      <c r="L9" s="14">
        <f>Assumptions!$E$26/4*X9</f>
        <v/>
      </c>
      <c r="M9" s="14">
        <f>Assumptions!$E$27/4*X9</f>
        <v/>
      </c>
      <c r="N9" s="14">
        <f>Assumptions!$E$28/4*X9</f>
        <v/>
      </c>
      <c r="O9" s="14">
        <f>IF(A9=0,Assumptions!$E$16+Assumptions!$E$31+Assumptions!$E$32,IF(A9=1,Assumptions!$E$15-Assumptions!$E$16,0))</f>
        <v/>
      </c>
      <c r="P9" s="14">
        <f>Assumptions!$E$29/4*X9</f>
        <v/>
      </c>
      <c r="Q9" s="14">
        <f>SUM(J9:P9)+Z9</f>
        <v/>
      </c>
      <c r="R9" s="14">
        <f>I9-Q9</f>
        <v/>
      </c>
      <c r="S9" s="14">
        <f>S8+R9</f>
        <v/>
      </c>
      <c r="T9" s="14">
        <f>IF(OR(A9=0,A9&gt;Assumptions!$E$12),0,D9*(1-Assumptions!$E$19)/Assumptions!$E$12+IF(A9=1+Assumptions!$E$8,Assumptions!$E$7*(1-Assumptions!$E$19)/Assumptions!$E$12*Assumptions!$E$8,0))+Y9</f>
        <v/>
      </c>
      <c r="U9" s="14">
        <f>IF(A9&gt;Assumptions!$E$12,V8*Assumptions!$E$23,0)</f>
        <v/>
      </c>
      <c r="V9" s="14">
        <f>V8*(1-IF(A9&gt;Assumptions!$E$12,Assumptions!$E$23,0))+T9</f>
        <v/>
      </c>
      <c r="W9" s="14">
        <f>IF(OR(A9=0,A9&gt;Assumptions!$E$13),0,Assumptions!$E$18/4)</f>
        <v/>
      </c>
      <c r="X9" s="15">
        <f>IF(A9=0,0,IF(A9&gt;Assumptions!$E$12,Assumptions!$E$30,1))</f>
        <v/>
      </c>
      <c r="Y9" s="14">
        <f>IF(AND(A9&gt;=9,A9&lt;=Assumptions!$E$12),Assumptions!$E$20*Assumptions!$E$10*Assumptions!$E$9*Assumptions!$E$12/4/(Assumptions!$E$12-8),0)</f>
        <v/>
      </c>
      <c r="Z9" s="14">
        <f>IF(Assumptions!$E$22=1,0,Assumptions!$E$21*(T9-Y9+F9+G9+W9))</f>
        <v/>
      </c>
    </row>
    <row r="10">
      <c r="A10" t="n">
        <v>5</v>
      </c>
      <c r="B10">
        <f>IF(A10=0,0,ROUNDUP(A10/4,0))</f>
        <v/>
      </c>
      <c r="C10">
        <f>IF(A10=0,"Pre-close","Y"&amp;B10&amp;" Q"&amp;(A10-(B10-1)*4))</f>
        <v/>
      </c>
      <c r="D10" s="14">
        <f>IF(A10=0,0,Assumptions!$E$6+IF(A10&gt;=1+Assumptions!$E$8,Assumptions!$E$7,0))</f>
        <v/>
      </c>
      <c r="E10" s="14">
        <f>IF(A10&lt;=Assumptions!$E$12,D10,V9)</f>
        <v/>
      </c>
      <c r="F10" s="14">
        <f>IF(OR(A10=0,A10&gt;Assumptions!$E$13),0,IF(A10&lt;=Assumptions!$E$12,Assumptions!$E$10,Assumptions!$E$11)*E10/4)-IF(Assumptions!$E$22=1,Assumptions!$E$21*(T10-Y10),0)</f>
        <v/>
      </c>
      <c r="G10" s="14">
        <f>IF(A10=1+Assumptions!$E$8,Assumptions!$E$7*Assumptions!$E$10*(Assumptions!$E$8/4)*(1+Assumptions!$E$14*(Assumptions!$E$8/4)/2),0)</f>
        <v/>
      </c>
      <c r="H10" s="14">
        <f>IF(A10=1,MIN(Assumptions!$E$15,Assumptions!$E$17*Assumptions!$E$6),IF(A10=1+Assumptions!$E$8,MIN(Assumptions!$E$15,Assumptions!$E$17*Assumptions!$E$9)-MIN(Assumptions!$E$15,Assumptions!$E$17*Assumptions!$E$6),0))</f>
        <v/>
      </c>
      <c r="I10" s="14">
        <f>F10+G10+H10</f>
        <v/>
      </c>
      <c r="J10" s="14">
        <f>Assumptions!$E$24/4*X10</f>
        <v/>
      </c>
      <c r="K10" s="14">
        <f>Assumptions!$E$25/4*X10</f>
        <v/>
      </c>
      <c r="L10" s="14">
        <f>Assumptions!$E$26/4*X10</f>
        <v/>
      </c>
      <c r="M10" s="14">
        <f>Assumptions!$E$27/4*X10</f>
        <v/>
      </c>
      <c r="N10" s="14">
        <f>Assumptions!$E$28/4*X10</f>
        <v/>
      </c>
      <c r="O10" s="14">
        <f>IF(A10=0,Assumptions!$E$16+Assumptions!$E$31+Assumptions!$E$32,IF(A10=1,Assumptions!$E$15-Assumptions!$E$16,0))</f>
        <v/>
      </c>
      <c r="P10" s="14">
        <f>Assumptions!$E$29/4*X10</f>
        <v/>
      </c>
      <c r="Q10" s="14">
        <f>SUM(J10:P10)+Z10</f>
        <v/>
      </c>
      <c r="R10" s="14">
        <f>I10-Q10</f>
        <v/>
      </c>
      <c r="S10" s="14">
        <f>S9+R10</f>
        <v/>
      </c>
      <c r="T10" s="14">
        <f>IF(OR(A10=0,A10&gt;Assumptions!$E$12),0,D10*(1-Assumptions!$E$19)/Assumptions!$E$12+IF(A10=1+Assumptions!$E$8,Assumptions!$E$7*(1-Assumptions!$E$19)/Assumptions!$E$12*Assumptions!$E$8,0))+Y10</f>
        <v/>
      </c>
      <c r="U10" s="14">
        <f>IF(A10&gt;Assumptions!$E$12,V9*Assumptions!$E$23,0)</f>
        <v/>
      </c>
      <c r="V10" s="14">
        <f>V9*(1-IF(A10&gt;Assumptions!$E$12,Assumptions!$E$23,0))+T10</f>
        <v/>
      </c>
      <c r="W10" s="14">
        <f>IF(OR(A10=0,A10&gt;Assumptions!$E$13),0,Assumptions!$E$18/4)</f>
        <v/>
      </c>
      <c r="X10" s="15">
        <f>IF(A10=0,0,IF(A10&gt;Assumptions!$E$12,Assumptions!$E$30,1))</f>
        <v/>
      </c>
      <c r="Y10" s="14">
        <f>IF(AND(A10&gt;=9,A10&lt;=Assumptions!$E$12),Assumptions!$E$20*Assumptions!$E$10*Assumptions!$E$9*Assumptions!$E$12/4/(Assumptions!$E$12-8),0)</f>
        <v/>
      </c>
      <c r="Z10" s="14">
        <f>IF(Assumptions!$E$22=1,0,Assumptions!$E$21*(T10-Y10+F10+G10+W10))</f>
        <v/>
      </c>
    </row>
    <row r="11">
      <c r="A11" t="n">
        <v>6</v>
      </c>
      <c r="B11">
        <f>IF(A11=0,0,ROUNDUP(A11/4,0))</f>
        <v/>
      </c>
      <c r="C11">
        <f>IF(A11=0,"Pre-close","Y"&amp;B11&amp;" Q"&amp;(A11-(B11-1)*4))</f>
        <v/>
      </c>
      <c r="D11" s="14">
        <f>IF(A11=0,0,Assumptions!$E$6+IF(A11&gt;=1+Assumptions!$E$8,Assumptions!$E$7,0))</f>
        <v/>
      </c>
      <c r="E11" s="14">
        <f>IF(A11&lt;=Assumptions!$E$12,D11,V10)</f>
        <v/>
      </c>
      <c r="F11" s="14">
        <f>IF(OR(A11=0,A11&gt;Assumptions!$E$13),0,IF(A11&lt;=Assumptions!$E$12,Assumptions!$E$10,Assumptions!$E$11)*E11/4)-IF(Assumptions!$E$22=1,Assumptions!$E$21*(T11-Y11),0)</f>
        <v/>
      </c>
      <c r="G11" s="14">
        <f>IF(A11=1+Assumptions!$E$8,Assumptions!$E$7*Assumptions!$E$10*(Assumptions!$E$8/4)*(1+Assumptions!$E$14*(Assumptions!$E$8/4)/2),0)</f>
        <v/>
      </c>
      <c r="H11" s="14">
        <f>IF(A11=1,MIN(Assumptions!$E$15,Assumptions!$E$17*Assumptions!$E$6),IF(A11=1+Assumptions!$E$8,MIN(Assumptions!$E$15,Assumptions!$E$17*Assumptions!$E$9)-MIN(Assumptions!$E$15,Assumptions!$E$17*Assumptions!$E$6),0))</f>
        <v/>
      </c>
      <c r="I11" s="14">
        <f>F11+G11+H11</f>
        <v/>
      </c>
      <c r="J11" s="14">
        <f>Assumptions!$E$24/4*X11</f>
        <v/>
      </c>
      <c r="K11" s="14">
        <f>Assumptions!$E$25/4*X11</f>
        <v/>
      </c>
      <c r="L11" s="14">
        <f>Assumptions!$E$26/4*X11</f>
        <v/>
      </c>
      <c r="M11" s="14">
        <f>Assumptions!$E$27/4*X11</f>
        <v/>
      </c>
      <c r="N11" s="14">
        <f>Assumptions!$E$28/4*X11</f>
        <v/>
      </c>
      <c r="O11" s="14">
        <f>IF(A11=0,Assumptions!$E$16+Assumptions!$E$31+Assumptions!$E$32,IF(A11=1,Assumptions!$E$15-Assumptions!$E$16,0))</f>
        <v/>
      </c>
      <c r="P11" s="14">
        <f>Assumptions!$E$29/4*X11</f>
        <v/>
      </c>
      <c r="Q11" s="14">
        <f>SUM(J11:P11)+Z11</f>
        <v/>
      </c>
      <c r="R11" s="14">
        <f>I11-Q11</f>
        <v/>
      </c>
      <c r="S11" s="14">
        <f>S10+R11</f>
        <v/>
      </c>
      <c r="T11" s="14">
        <f>IF(OR(A11=0,A11&gt;Assumptions!$E$12),0,D11*(1-Assumptions!$E$19)/Assumptions!$E$12+IF(A11=1+Assumptions!$E$8,Assumptions!$E$7*(1-Assumptions!$E$19)/Assumptions!$E$12*Assumptions!$E$8,0))+Y11</f>
        <v/>
      </c>
      <c r="U11" s="14">
        <f>IF(A11&gt;Assumptions!$E$12,V10*Assumptions!$E$23,0)</f>
        <v/>
      </c>
      <c r="V11" s="14">
        <f>V10*(1-IF(A11&gt;Assumptions!$E$12,Assumptions!$E$23,0))+T11</f>
        <v/>
      </c>
      <c r="W11" s="14">
        <f>IF(OR(A11=0,A11&gt;Assumptions!$E$13),0,Assumptions!$E$18/4)</f>
        <v/>
      </c>
      <c r="X11" s="15">
        <f>IF(A11=0,0,IF(A11&gt;Assumptions!$E$12,Assumptions!$E$30,1))</f>
        <v/>
      </c>
      <c r="Y11" s="14">
        <f>IF(AND(A11&gt;=9,A11&lt;=Assumptions!$E$12),Assumptions!$E$20*Assumptions!$E$10*Assumptions!$E$9*Assumptions!$E$12/4/(Assumptions!$E$12-8),0)</f>
        <v/>
      </c>
      <c r="Z11" s="14">
        <f>IF(Assumptions!$E$22=1,0,Assumptions!$E$21*(T11-Y11+F11+G11+W11))</f>
        <v/>
      </c>
    </row>
    <row r="12">
      <c r="A12" t="n">
        <v>7</v>
      </c>
      <c r="B12">
        <f>IF(A12=0,0,ROUNDUP(A12/4,0))</f>
        <v/>
      </c>
      <c r="C12">
        <f>IF(A12=0,"Pre-close","Y"&amp;B12&amp;" Q"&amp;(A12-(B12-1)*4))</f>
        <v/>
      </c>
      <c r="D12" s="14">
        <f>IF(A12=0,0,Assumptions!$E$6+IF(A12&gt;=1+Assumptions!$E$8,Assumptions!$E$7,0))</f>
        <v/>
      </c>
      <c r="E12" s="14">
        <f>IF(A12&lt;=Assumptions!$E$12,D12,V11)</f>
        <v/>
      </c>
      <c r="F12" s="14">
        <f>IF(OR(A12=0,A12&gt;Assumptions!$E$13),0,IF(A12&lt;=Assumptions!$E$12,Assumptions!$E$10,Assumptions!$E$11)*E12/4)-IF(Assumptions!$E$22=1,Assumptions!$E$21*(T12-Y12),0)</f>
        <v/>
      </c>
      <c r="G12" s="14">
        <f>IF(A12=1+Assumptions!$E$8,Assumptions!$E$7*Assumptions!$E$10*(Assumptions!$E$8/4)*(1+Assumptions!$E$14*(Assumptions!$E$8/4)/2),0)</f>
        <v/>
      </c>
      <c r="H12" s="14">
        <f>IF(A12=1,MIN(Assumptions!$E$15,Assumptions!$E$17*Assumptions!$E$6),IF(A12=1+Assumptions!$E$8,MIN(Assumptions!$E$15,Assumptions!$E$17*Assumptions!$E$9)-MIN(Assumptions!$E$15,Assumptions!$E$17*Assumptions!$E$6),0))</f>
        <v/>
      </c>
      <c r="I12" s="14">
        <f>F12+G12+H12</f>
        <v/>
      </c>
      <c r="J12" s="14">
        <f>Assumptions!$E$24/4*X12</f>
        <v/>
      </c>
      <c r="K12" s="14">
        <f>Assumptions!$E$25/4*X12</f>
        <v/>
      </c>
      <c r="L12" s="14">
        <f>Assumptions!$E$26/4*X12</f>
        <v/>
      </c>
      <c r="M12" s="14">
        <f>Assumptions!$E$27/4*X12</f>
        <v/>
      </c>
      <c r="N12" s="14">
        <f>Assumptions!$E$28/4*X12</f>
        <v/>
      </c>
      <c r="O12" s="14">
        <f>IF(A12=0,Assumptions!$E$16+Assumptions!$E$31+Assumptions!$E$32,IF(A12=1,Assumptions!$E$15-Assumptions!$E$16,0))</f>
        <v/>
      </c>
      <c r="P12" s="14">
        <f>Assumptions!$E$29/4*X12</f>
        <v/>
      </c>
      <c r="Q12" s="14">
        <f>SUM(J12:P12)+Z12</f>
        <v/>
      </c>
      <c r="R12" s="14">
        <f>I12-Q12</f>
        <v/>
      </c>
      <c r="S12" s="14">
        <f>S11+R12</f>
        <v/>
      </c>
      <c r="T12" s="14">
        <f>IF(OR(A12=0,A12&gt;Assumptions!$E$12),0,D12*(1-Assumptions!$E$19)/Assumptions!$E$12+IF(A12=1+Assumptions!$E$8,Assumptions!$E$7*(1-Assumptions!$E$19)/Assumptions!$E$12*Assumptions!$E$8,0))+Y12</f>
        <v/>
      </c>
      <c r="U12" s="14">
        <f>IF(A12&gt;Assumptions!$E$12,V11*Assumptions!$E$23,0)</f>
        <v/>
      </c>
      <c r="V12" s="14">
        <f>V11*(1-IF(A12&gt;Assumptions!$E$12,Assumptions!$E$23,0))+T12</f>
        <v/>
      </c>
      <c r="W12" s="14">
        <f>IF(OR(A12=0,A12&gt;Assumptions!$E$13),0,Assumptions!$E$18/4)</f>
        <v/>
      </c>
      <c r="X12" s="15">
        <f>IF(A12=0,0,IF(A12&gt;Assumptions!$E$12,Assumptions!$E$30,1))</f>
        <v/>
      </c>
      <c r="Y12" s="14">
        <f>IF(AND(A12&gt;=9,A12&lt;=Assumptions!$E$12),Assumptions!$E$20*Assumptions!$E$10*Assumptions!$E$9*Assumptions!$E$12/4/(Assumptions!$E$12-8),0)</f>
        <v/>
      </c>
      <c r="Z12" s="14">
        <f>IF(Assumptions!$E$22=1,0,Assumptions!$E$21*(T12-Y12+F12+G12+W12))</f>
        <v/>
      </c>
    </row>
    <row r="13">
      <c r="A13" t="n">
        <v>8</v>
      </c>
      <c r="B13">
        <f>IF(A13=0,0,ROUNDUP(A13/4,0))</f>
        <v/>
      </c>
      <c r="C13">
        <f>IF(A13=0,"Pre-close","Y"&amp;B13&amp;" Q"&amp;(A13-(B13-1)*4))</f>
        <v/>
      </c>
      <c r="D13" s="14">
        <f>IF(A13=0,0,Assumptions!$E$6+IF(A13&gt;=1+Assumptions!$E$8,Assumptions!$E$7,0))</f>
        <v/>
      </c>
      <c r="E13" s="14">
        <f>IF(A13&lt;=Assumptions!$E$12,D13,V12)</f>
        <v/>
      </c>
      <c r="F13" s="14">
        <f>IF(OR(A13=0,A13&gt;Assumptions!$E$13),0,IF(A13&lt;=Assumptions!$E$12,Assumptions!$E$10,Assumptions!$E$11)*E13/4)-IF(Assumptions!$E$22=1,Assumptions!$E$21*(T13-Y13),0)</f>
        <v/>
      </c>
      <c r="G13" s="14">
        <f>IF(A13=1+Assumptions!$E$8,Assumptions!$E$7*Assumptions!$E$10*(Assumptions!$E$8/4)*(1+Assumptions!$E$14*(Assumptions!$E$8/4)/2),0)</f>
        <v/>
      </c>
      <c r="H13" s="14">
        <f>IF(A13=1,MIN(Assumptions!$E$15,Assumptions!$E$17*Assumptions!$E$6),IF(A13=1+Assumptions!$E$8,MIN(Assumptions!$E$15,Assumptions!$E$17*Assumptions!$E$9)-MIN(Assumptions!$E$15,Assumptions!$E$17*Assumptions!$E$6),0))</f>
        <v/>
      </c>
      <c r="I13" s="14">
        <f>F13+G13+H13</f>
        <v/>
      </c>
      <c r="J13" s="14">
        <f>Assumptions!$E$24/4*X13</f>
        <v/>
      </c>
      <c r="K13" s="14">
        <f>Assumptions!$E$25/4*X13</f>
        <v/>
      </c>
      <c r="L13" s="14">
        <f>Assumptions!$E$26/4*X13</f>
        <v/>
      </c>
      <c r="M13" s="14">
        <f>Assumptions!$E$27/4*X13</f>
        <v/>
      </c>
      <c r="N13" s="14">
        <f>Assumptions!$E$28/4*X13</f>
        <v/>
      </c>
      <c r="O13" s="14">
        <f>IF(A13=0,Assumptions!$E$16+Assumptions!$E$31+Assumptions!$E$32,IF(A13=1,Assumptions!$E$15-Assumptions!$E$16,0))</f>
        <v/>
      </c>
      <c r="P13" s="14">
        <f>Assumptions!$E$29/4*X13</f>
        <v/>
      </c>
      <c r="Q13" s="14">
        <f>SUM(J13:P13)+Z13</f>
        <v/>
      </c>
      <c r="R13" s="14">
        <f>I13-Q13</f>
        <v/>
      </c>
      <c r="S13" s="14">
        <f>S12+R13</f>
        <v/>
      </c>
      <c r="T13" s="14">
        <f>IF(OR(A13=0,A13&gt;Assumptions!$E$12),0,D13*(1-Assumptions!$E$19)/Assumptions!$E$12+IF(A13=1+Assumptions!$E$8,Assumptions!$E$7*(1-Assumptions!$E$19)/Assumptions!$E$12*Assumptions!$E$8,0))+Y13</f>
        <v/>
      </c>
      <c r="U13" s="14">
        <f>IF(A13&gt;Assumptions!$E$12,V12*Assumptions!$E$23,0)</f>
        <v/>
      </c>
      <c r="V13" s="14">
        <f>V12*(1-IF(A13&gt;Assumptions!$E$12,Assumptions!$E$23,0))+T13</f>
        <v/>
      </c>
      <c r="W13" s="14">
        <f>IF(OR(A13=0,A13&gt;Assumptions!$E$13),0,Assumptions!$E$18/4)</f>
        <v/>
      </c>
      <c r="X13" s="15">
        <f>IF(A13=0,0,IF(A13&gt;Assumptions!$E$12,Assumptions!$E$30,1))</f>
        <v/>
      </c>
      <c r="Y13" s="14">
        <f>IF(AND(A13&gt;=9,A13&lt;=Assumptions!$E$12),Assumptions!$E$20*Assumptions!$E$10*Assumptions!$E$9*Assumptions!$E$12/4/(Assumptions!$E$12-8),0)</f>
        <v/>
      </c>
      <c r="Z13" s="14">
        <f>IF(Assumptions!$E$22=1,0,Assumptions!$E$21*(T13-Y13+F13+G13+W13))</f>
        <v/>
      </c>
    </row>
    <row r="14">
      <c r="A14" t="n">
        <v>9</v>
      </c>
      <c r="B14">
        <f>IF(A14=0,0,ROUNDUP(A14/4,0))</f>
        <v/>
      </c>
      <c r="C14">
        <f>IF(A14=0,"Pre-close","Y"&amp;B14&amp;" Q"&amp;(A14-(B14-1)*4))</f>
        <v/>
      </c>
      <c r="D14" s="14">
        <f>IF(A14=0,0,Assumptions!$E$6+IF(A14&gt;=1+Assumptions!$E$8,Assumptions!$E$7,0))</f>
        <v/>
      </c>
      <c r="E14" s="14">
        <f>IF(A14&lt;=Assumptions!$E$12,D14,V13)</f>
        <v/>
      </c>
      <c r="F14" s="14">
        <f>IF(OR(A14=0,A14&gt;Assumptions!$E$13),0,IF(A14&lt;=Assumptions!$E$12,Assumptions!$E$10,Assumptions!$E$11)*E14/4)-IF(Assumptions!$E$22=1,Assumptions!$E$21*(T14-Y14),0)</f>
        <v/>
      </c>
      <c r="G14" s="14">
        <f>IF(A14=1+Assumptions!$E$8,Assumptions!$E$7*Assumptions!$E$10*(Assumptions!$E$8/4)*(1+Assumptions!$E$14*(Assumptions!$E$8/4)/2),0)</f>
        <v/>
      </c>
      <c r="H14" s="14">
        <f>IF(A14=1,MIN(Assumptions!$E$15,Assumptions!$E$17*Assumptions!$E$6),IF(A14=1+Assumptions!$E$8,MIN(Assumptions!$E$15,Assumptions!$E$17*Assumptions!$E$9)-MIN(Assumptions!$E$15,Assumptions!$E$17*Assumptions!$E$6),0))</f>
        <v/>
      </c>
      <c r="I14" s="14">
        <f>F14+G14+H14</f>
        <v/>
      </c>
      <c r="J14" s="14">
        <f>Assumptions!$E$24/4*X14</f>
        <v/>
      </c>
      <c r="K14" s="14">
        <f>Assumptions!$E$25/4*X14</f>
        <v/>
      </c>
      <c r="L14" s="14">
        <f>Assumptions!$E$26/4*X14</f>
        <v/>
      </c>
      <c r="M14" s="14">
        <f>Assumptions!$E$27/4*X14</f>
        <v/>
      </c>
      <c r="N14" s="14">
        <f>Assumptions!$E$28/4*X14</f>
        <v/>
      </c>
      <c r="O14" s="14">
        <f>IF(A14=0,Assumptions!$E$16+Assumptions!$E$31+Assumptions!$E$32,IF(A14=1,Assumptions!$E$15-Assumptions!$E$16,0))</f>
        <v/>
      </c>
      <c r="P14" s="14">
        <f>Assumptions!$E$29/4*X14</f>
        <v/>
      </c>
      <c r="Q14" s="14">
        <f>SUM(J14:P14)+Z14</f>
        <v/>
      </c>
      <c r="R14" s="14">
        <f>I14-Q14</f>
        <v/>
      </c>
      <c r="S14" s="14">
        <f>S13+R14</f>
        <v/>
      </c>
      <c r="T14" s="14">
        <f>IF(OR(A14=0,A14&gt;Assumptions!$E$12),0,D14*(1-Assumptions!$E$19)/Assumptions!$E$12+IF(A14=1+Assumptions!$E$8,Assumptions!$E$7*(1-Assumptions!$E$19)/Assumptions!$E$12*Assumptions!$E$8,0))+Y14</f>
        <v/>
      </c>
      <c r="U14" s="14">
        <f>IF(A14&gt;Assumptions!$E$12,V13*Assumptions!$E$23,0)</f>
        <v/>
      </c>
      <c r="V14" s="14">
        <f>V13*(1-IF(A14&gt;Assumptions!$E$12,Assumptions!$E$23,0))+T14</f>
        <v/>
      </c>
      <c r="W14" s="14">
        <f>IF(OR(A14=0,A14&gt;Assumptions!$E$13),0,Assumptions!$E$18/4)</f>
        <v/>
      </c>
      <c r="X14" s="15">
        <f>IF(A14=0,0,IF(A14&gt;Assumptions!$E$12,Assumptions!$E$30,1))</f>
        <v/>
      </c>
      <c r="Y14" s="14">
        <f>IF(AND(A14&gt;=9,A14&lt;=Assumptions!$E$12),Assumptions!$E$20*Assumptions!$E$10*Assumptions!$E$9*Assumptions!$E$12/4/(Assumptions!$E$12-8),0)</f>
        <v/>
      </c>
      <c r="Z14" s="14">
        <f>IF(Assumptions!$E$22=1,0,Assumptions!$E$21*(T14-Y14+F14+G14+W14))</f>
        <v/>
      </c>
    </row>
    <row r="15">
      <c r="A15" t="n">
        <v>10</v>
      </c>
      <c r="B15">
        <f>IF(A15=0,0,ROUNDUP(A15/4,0))</f>
        <v/>
      </c>
      <c r="C15">
        <f>IF(A15=0,"Pre-close","Y"&amp;B15&amp;" Q"&amp;(A15-(B15-1)*4))</f>
        <v/>
      </c>
      <c r="D15" s="14">
        <f>IF(A15=0,0,Assumptions!$E$6+IF(A15&gt;=1+Assumptions!$E$8,Assumptions!$E$7,0))</f>
        <v/>
      </c>
      <c r="E15" s="14">
        <f>IF(A15&lt;=Assumptions!$E$12,D15,V14)</f>
        <v/>
      </c>
      <c r="F15" s="14">
        <f>IF(OR(A15=0,A15&gt;Assumptions!$E$13),0,IF(A15&lt;=Assumptions!$E$12,Assumptions!$E$10,Assumptions!$E$11)*E15/4)-IF(Assumptions!$E$22=1,Assumptions!$E$21*(T15-Y15),0)</f>
        <v/>
      </c>
      <c r="G15" s="14">
        <f>IF(A15=1+Assumptions!$E$8,Assumptions!$E$7*Assumptions!$E$10*(Assumptions!$E$8/4)*(1+Assumptions!$E$14*(Assumptions!$E$8/4)/2),0)</f>
        <v/>
      </c>
      <c r="H15" s="14">
        <f>IF(A15=1,MIN(Assumptions!$E$15,Assumptions!$E$17*Assumptions!$E$6),IF(A15=1+Assumptions!$E$8,MIN(Assumptions!$E$15,Assumptions!$E$17*Assumptions!$E$9)-MIN(Assumptions!$E$15,Assumptions!$E$17*Assumptions!$E$6),0))</f>
        <v/>
      </c>
      <c r="I15" s="14">
        <f>F15+G15+H15</f>
        <v/>
      </c>
      <c r="J15" s="14">
        <f>Assumptions!$E$24/4*X15</f>
        <v/>
      </c>
      <c r="K15" s="14">
        <f>Assumptions!$E$25/4*X15</f>
        <v/>
      </c>
      <c r="L15" s="14">
        <f>Assumptions!$E$26/4*X15</f>
        <v/>
      </c>
      <c r="M15" s="14">
        <f>Assumptions!$E$27/4*X15</f>
        <v/>
      </c>
      <c r="N15" s="14">
        <f>Assumptions!$E$28/4*X15</f>
        <v/>
      </c>
      <c r="O15" s="14">
        <f>IF(A15=0,Assumptions!$E$16+Assumptions!$E$31+Assumptions!$E$32,IF(A15=1,Assumptions!$E$15-Assumptions!$E$16,0))</f>
        <v/>
      </c>
      <c r="P15" s="14">
        <f>Assumptions!$E$29/4*X15</f>
        <v/>
      </c>
      <c r="Q15" s="14">
        <f>SUM(J15:P15)+Z15</f>
        <v/>
      </c>
      <c r="R15" s="14">
        <f>I15-Q15</f>
        <v/>
      </c>
      <c r="S15" s="14">
        <f>S14+R15</f>
        <v/>
      </c>
      <c r="T15" s="14">
        <f>IF(OR(A15=0,A15&gt;Assumptions!$E$12),0,D15*(1-Assumptions!$E$19)/Assumptions!$E$12+IF(A15=1+Assumptions!$E$8,Assumptions!$E$7*(1-Assumptions!$E$19)/Assumptions!$E$12*Assumptions!$E$8,0))+Y15</f>
        <v/>
      </c>
      <c r="U15" s="14">
        <f>IF(A15&gt;Assumptions!$E$12,V14*Assumptions!$E$23,0)</f>
        <v/>
      </c>
      <c r="V15" s="14">
        <f>V14*(1-IF(A15&gt;Assumptions!$E$12,Assumptions!$E$23,0))+T15</f>
        <v/>
      </c>
      <c r="W15" s="14">
        <f>IF(OR(A15=0,A15&gt;Assumptions!$E$13),0,Assumptions!$E$18/4)</f>
        <v/>
      </c>
      <c r="X15" s="15">
        <f>IF(A15=0,0,IF(A15&gt;Assumptions!$E$12,Assumptions!$E$30,1))</f>
        <v/>
      </c>
      <c r="Y15" s="14">
        <f>IF(AND(A15&gt;=9,A15&lt;=Assumptions!$E$12),Assumptions!$E$20*Assumptions!$E$10*Assumptions!$E$9*Assumptions!$E$12/4/(Assumptions!$E$12-8),0)</f>
        <v/>
      </c>
      <c r="Z15" s="14">
        <f>IF(Assumptions!$E$22=1,0,Assumptions!$E$21*(T15-Y15+F15+G15+W15))</f>
        <v/>
      </c>
    </row>
    <row r="16">
      <c r="A16" t="n">
        <v>11</v>
      </c>
      <c r="B16">
        <f>IF(A16=0,0,ROUNDUP(A16/4,0))</f>
        <v/>
      </c>
      <c r="C16">
        <f>IF(A16=0,"Pre-close","Y"&amp;B16&amp;" Q"&amp;(A16-(B16-1)*4))</f>
        <v/>
      </c>
      <c r="D16" s="14">
        <f>IF(A16=0,0,Assumptions!$E$6+IF(A16&gt;=1+Assumptions!$E$8,Assumptions!$E$7,0))</f>
        <v/>
      </c>
      <c r="E16" s="14">
        <f>IF(A16&lt;=Assumptions!$E$12,D16,V15)</f>
        <v/>
      </c>
      <c r="F16" s="14">
        <f>IF(OR(A16=0,A16&gt;Assumptions!$E$13),0,IF(A16&lt;=Assumptions!$E$12,Assumptions!$E$10,Assumptions!$E$11)*E16/4)-IF(Assumptions!$E$22=1,Assumptions!$E$21*(T16-Y16),0)</f>
        <v/>
      </c>
      <c r="G16" s="14">
        <f>IF(A16=1+Assumptions!$E$8,Assumptions!$E$7*Assumptions!$E$10*(Assumptions!$E$8/4)*(1+Assumptions!$E$14*(Assumptions!$E$8/4)/2),0)</f>
        <v/>
      </c>
      <c r="H16" s="14">
        <f>IF(A16=1,MIN(Assumptions!$E$15,Assumptions!$E$17*Assumptions!$E$6),IF(A16=1+Assumptions!$E$8,MIN(Assumptions!$E$15,Assumptions!$E$17*Assumptions!$E$9)-MIN(Assumptions!$E$15,Assumptions!$E$17*Assumptions!$E$6),0))</f>
        <v/>
      </c>
      <c r="I16" s="14">
        <f>F16+G16+H16</f>
        <v/>
      </c>
      <c r="J16" s="14">
        <f>Assumptions!$E$24/4*X16</f>
        <v/>
      </c>
      <c r="K16" s="14">
        <f>Assumptions!$E$25/4*X16</f>
        <v/>
      </c>
      <c r="L16" s="14">
        <f>Assumptions!$E$26/4*X16</f>
        <v/>
      </c>
      <c r="M16" s="14">
        <f>Assumptions!$E$27/4*X16</f>
        <v/>
      </c>
      <c r="N16" s="14">
        <f>Assumptions!$E$28/4*X16</f>
        <v/>
      </c>
      <c r="O16" s="14">
        <f>IF(A16=0,Assumptions!$E$16+Assumptions!$E$31+Assumptions!$E$32,IF(A16=1,Assumptions!$E$15-Assumptions!$E$16,0))</f>
        <v/>
      </c>
      <c r="P16" s="14">
        <f>Assumptions!$E$29/4*X16</f>
        <v/>
      </c>
      <c r="Q16" s="14">
        <f>SUM(J16:P16)+Z16</f>
        <v/>
      </c>
      <c r="R16" s="14">
        <f>I16-Q16</f>
        <v/>
      </c>
      <c r="S16" s="14">
        <f>S15+R16</f>
        <v/>
      </c>
      <c r="T16" s="14">
        <f>IF(OR(A16=0,A16&gt;Assumptions!$E$12),0,D16*(1-Assumptions!$E$19)/Assumptions!$E$12+IF(A16=1+Assumptions!$E$8,Assumptions!$E$7*(1-Assumptions!$E$19)/Assumptions!$E$12*Assumptions!$E$8,0))+Y16</f>
        <v/>
      </c>
      <c r="U16" s="14">
        <f>IF(A16&gt;Assumptions!$E$12,V15*Assumptions!$E$23,0)</f>
        <v/>
      </c>
      <c r="V16" s="14">
        <f>V15*(1-IF(A16&gt;Assumptions!$E$12,Assumptions!$E$23,0))+T16</f>
        <v/>
      </c>
      <c r="W16" s="14">
        <f>IF(OR(A16=0,A16&gt;Assumptions!$E$13),0,Assumptions!$E$18/4)</f>
        <v/>
      </c>
      <c r="X16" s="15">
        <f>IF(A16=0,0,IF(A16&gt;Assumptions!$E$12,Assumptions!$E$30,1))</f>
        <v/>
      </c>
      <c r="Y16" s="14">
        <f>IF(AND(A16&gt;=9,A16&lt;=Assumptions!$E$12),Assumptions!$E$20*Assumptions!$E$10*Assumptions!$E$9*Assumptions!$E$12/4/(Assumptions!$E$12-8),0)</f>
        <v/>
      </c>
      <c r="Z16" s="14">
        <f>IF(Assumptions!$E$22=1,0,Assumptions!$E$21*(T16-Y16+F16+G16+W16))</f>
        <v/>
      </c>
    </row>
    <row r="17">
      <c r="A17" t="n">
        <v>12</v>
      </c>
      <c r="B17">
        <f>IF(A17=0,0,ROUNDUP(A17/4,0))</f>
        <v/>
      </c>
      <c r="C17">
        <f>IF(A17=0,"Pre-close","Y"&amp;B17&amp;" Q"&amp;(A17-(B17-1)*4))</f>
        <v/>
      </c>
      <c r="D17" s="14">
        <f>IF(A17=0,0,Assumptions!$E$6+IF(A17&gt;=1+Assumptions!$E$8,Assumptions!$E$7,0))</f>
        <v/>
      </c>
      <c r="E17" s="14">
        <f>IF(A17&lt;=Assumptions!$E$12,D17,V16)</f>
        <v/>
      </c>
      <c r="F17" s="14">
        <f>IF(OR(A17=0,A17&gt;Assumptions!$E$13),0,IF(A17&lt;=Assumptions!$E$12,Assumptions!$E$10,Assumptions!$E$11)*E17/4)-IF(Assumptions!$E$22=1,Assumptions!$E$21*(T17-Y17),0)</f>
        <v/>
      </c>
      <c r="G17" s="14">
        <f>IF(A17=1+Assumptions!$E$8,Assumptions!$E$7*Assumptions!$E$10*(Assumptions!$E$8/4)*(1+Assumptions!$E$14*(Assumptions!$E$8/4)/2),0)</f>
        <v/>
      </c>
      <c r="H17" s="14">
        <f>IF(A17=1,MIN(Assumptions!$E$15,Assumptions!$E$17*Assumptions!$E$6),IF(A17=1+Assumptions!$E$8,MIN(Assumptions!$E$15,Assumptions!$E$17*Assumptions!$E$9)-MIN(Assumptions!$E$15,Assumptions!$E$17*Assumptions!$E$6),0))</f>
        <v/>
      </c>
      <c r="I17" s="14">
        <f>F17+G17+H17</f>
        <v/>
      </c>
      <c r="J17" s="14">
        <f>Assumptions!$E$24/4*X17</f>
        <v/>
      </c>
      <c r="K17" s="14">
        <f>Assumptions!$E$25/4*X17</f>
        <v/>
      </c>
      <c r="L17" s="14">
        <f>Assumptions!$E$26/4*X17</f>
        <v/>
      </c>
      <c r="M17" s="14">
        <f>Assumptions!$E$27/4*X17</f>
        <v/>
      </c>
      <c r="N17" s="14">
        <f>Assumptions!$E$28/4*X17</f>
        <v/>
      </c>
      <c r="O17" s="14">
        <f>IF(A17=0,Assumptions!$E$16+Assumptions!$E$31+Assumptions!$E$32,IF(A17=1,Assumptions!$E$15-Assumptions!$E$16,0))</f>
        <v/>
      </c>
      <c r="P17" s="14">
        <f>Assumptions!$E$29/4*X17</f>
        <v/>
      </c>
      <c r="Q17" s="14">
        <f>SUM(J17:P17)+Z17</f>
        <v/>
      </c>
      <c r="R17" s="14">
        <f>I17-Q17</f>
        <v/>
      </c>
      <c r="S17" s="14">
        <f>S16+R17</f>
        <v/>
      </c>
      <c r="T17" s="14">
        <f>IF(OR(A17=0,A17&gt;Assumptions!$E$12),0,D17*(1-Assumptions!$E$19)/Assumptions!$E$12+IF(A17=1+Assumptions!$E$8,Assumptions!$E$7*(1-Assumptions!$E$19)/Assumptions!$E$12*Assumptions!$E$8,0))+Y17</f>
        <v/>
      </c>
      <c r="U17" s="14">
        <f>IF(A17&gt;Assumptions!$E$12,V16*Assumptions!$E$23,0)</f>
        <v/>
      </c>
      <c r="V17" s="14">
        <f>V16*(1-IF(A17&gt;Assumptions!$E$12,Assumptions!$E$23,0))+T17</f>
        <v/>
      </c>
      <c r="W17" s="14">
        <f>IF(OR(A17=0,A17&gt;Assumptions!$E$13),0,Assumptions!$E$18/4)</f>
        <v/>
      </c>
      <c r="X17" s="15">
        <f>IF(A17=0,0,IF(A17&gt;Assumptions!$E$12,Assumptions!$E$30,1))</f>
        <v/>
      </c>
      <c r="Y17" s="14">
        <f>IF(AND(A17&gt;=9,A17&lt;=Assumptions!$E$12),Assumptions!$E$20*Assumptions!$E$10*Assumptions!$E$9*Assumptions!$E$12/4/(Assumptions!$E$12-8),0)</f>
        <v/>
      </c>
      <c r="Z17" s="14">
        <f>IF(Assumptions!$E$22=1,0,Assumptions!$E$21*(T17-Y17+F17+G17+W17))</f>
        <v/>
      </c>
    </row>
    <row r="18">
      <c r="A18" t="n">
        <v>13</v>
      </c>
      <c r="B18">
        <f>IF(A18=0,0,ROUNDUP(A18/4,0))</f>
        <v/>
      </c>
      <c r="C18">
        <f>IF(A18=0,"Pre-close","Y"&amp;B18&amp;" Q"&amp;(A18-(B18-1)*4))</f>
        <v/>
      </c>
      <c r="D18" s="14">
        <f>IF(A18=0,0,Assumptions!$E$6+IF(A18&gt;=1+Assumptions!$E$8,Assumptions!$E$7,0))</f>
        <v/>
      </c>
      <c r="E18" s="14">
        <f>IF(A18&lt;=Assumptions!$E$12,D18,V17)</f>
        <v/>
      </c>
      <c r="F18" s="14">
        <f>IF(OR(A18=0,A18&gt;Assumptions!$E$13),0,IF(A18&lt;=Assumptions!$E$12,Assumptions!$E$10,Assumptions!$E$11)*E18/4)-IF(Assumptions!$E$22=1,Assumptions!$E$21*(T18-Y18),0)</f>
        <v/>
      </c>
      <c r="G18" s="14">
        <f>IF(A18=1+Assumptions!$E$8,Assumptions!$E$7*Assumptions!$E$10*(Assumptions!$E$8/4)*(1+Assumptions!$E$14*(Assumptions!$E$8/4)/2),0)</f>
        <v/>
      </c>
      <c r="H18" s="14">
        <f>IF(A18=1,MIN(Assumptions!$E$15,Assumptions!$E$17*Assumptions!$E$6),IF(A18=1+Assumptions!$E$8,MIN(Assumptions!$E$15,Assumptions!$E$17*Assumptions!$E$9)-MIN(Assumptions!$E$15,Assumptions!$E$17*Assumptions!$E$6),0))</f>
        <v/>
      </c>
      <c r="I18" s="14">
        <f>F18+G18+H18</f>
        <v/>
      </c>
      <c r="J18" s="14">
        <f>Assumptions!$E$24/4*X18</f>
        <v/>
      </c>
      <c r="K18" s="14">
        <f>Assumptions!$E$25/4*X18</f>
        <v/>
      </c>
      <c r="L18" s="14">
        <f>Assumptions!$E$26/4*X18</f>
        <v/>
      </c>
      <c r="M18" s="14">
        <f>Assumptions!$E$27/4*X18</f>
        <v/>
      </c>
      <c r="N18" s="14">
        <f>Assumptions!$E$28/4*X18</f>
        <v/>
      </c>
      <c r="O18" s="14">
        <f>IF(A18=0,Assumptions!$E$16+Assumptions!$E$31+Assumptions!$E$32,IF(A18=1,Assumptions!$E$15-Assumptions!$E$16,0))</f>
        <v/>
      </c>
      <c r="P18" s="14">
        <f>Assumptions!$E$29/4*X18</f>
        <v/>
      </c>
      <c r="Q18" s="14">
        <f>SUM(J18:P18)+Z18</f>
        <v/>
      </c>
      <c r="R18" s="14">
        <f>I18-Q18</f>
        <v/>
      </c>
      <c r="S18" s="14">
        <f>S17+R18</f>
        <v/>
      </c>
      <c r="T18" s="14">
        <f>IF(OR(A18=0,A18&gt;Assumptions!$E$12),0,D18*(1-Assumptions!$E$19)/Assumptions!$E$12+IF(A18=1+Assumptions!$E$8,Assumptions!$E$7*(1-Assumptions!$E$19)/Assumptions!$E$12*Assumptions!$E$8,0))+Y18</f>
        <v/>
      </c>
      <c r="U18" s="14">
        <f>IF(A18&gt;Assumptions!$E$12,V17*Assumptions!$E$23,0)</f>
        <v/>
      </c>
      <c r="V18" s="14">
        <f>V17*(1-IF(A18&gt;Assumptions!$E$12,Assumptions!$E$23,0))+T18</f>
        <v/>
      </c>
      <c r="W18" s="14">
        <f>IF(OR(A18=0,A18&gt;Assumptions!$E$13),0,Assumptions!$E$18/4)</f>
        <v/>
      </c>
      <c r="X18" s="15">
        <f>IF(A18=0,0,IF(A18&gt;Assumptions!$E$12,Assumptions!$E$30,1))</f>
        <v/>
      </c>
      <c r="Y18" s="14">
        <f>IF(AND(A18&gt;=9,A18&lt;=Assumptions!$E$12),Assumptions!$E$20*Assumptions!$E$10*Assumptions!$E$9*Assumptions!$E$12/4/(Assumptions!$E$12-8),0)</f>
        <v/>
      </c>
      <c r="Z18" s="14">
        <f>IF(Assumptions!$E$22=1,0,Assumptions!$E$21*(T18-Y18+F18+G18+W18))</f>
        <v/>
      </c>
    </row>
    <row r="19">
      <c r="A19" t="n">
        <v>14</v>
      </c>
      <c r="B19">
        <f>IF(A19=0,0,ROUNDUP(A19/4,0))</f>
        <v/>
      </c>
      <c r="C19">
        <f>IF(A19=0,"Pre-close","Y"&amp;B19&amp;" Q"&amp;(A19-(B19-1)*4))</f>
        <v/>
      </c>
      <c r="D19" s="14">
        <f>IF(A19=0,0,Assumptions!$E$6+IF(A19&gt;=1+Assumptions!$E$8,Assumptions!$E$7,0))</f>
        <v/>
      </c>
      <c r="E19" s="14">
        <f>IF(A19&lt;=Assumptions!$E$12,D19,V18)</f>
        <v/>
      </c>
      <c r="F19" s="14">
        <f>IF(OR(A19=0,A19&gt;Assumptions!$E$13),0,IF(A19&lt;=Assumptions!$E$12,Assumptions!$E$10,Assumptions!$E$11)*E19/4)-IF(Assumptions!$E$22=1,Assumptions!$E$21*(T19-Y19),0)</f>
        <v/>
      </c>
      <c r="G19" s="14">
        <f>IF(A19=1+Assumptions!$E$8,Assumptions!$E$7*Assumptions!$E$10*(Assumptions!$E$8/4)*(1+Assumptions!$E$14*(Assumptions!$E$8/4)/2),0)</f>
        <v/>
      </c>
      <c r="H19" s="14">
        <f>IF(A19=1,MIN(Assumptions!$E$15,Assumptions!$E$17*Assumptions!$E$6),IF(A19=1+Assumptions!$E$8,MIN(Assumptions!$E$15,Assumptions!$E$17*Assumptions!$E$9)-MIN(Assumptions!$E$15,Assumptions!$E$17*Assumptions!$E$6),0))</f>
        <v/>
      </c>
      <c r="I19" s="14">
        <f>F19+G19+H19</f>
        <v/>
      </c>
      <c r="J19" s="14">
        <f>Assumptions!$E$24/4*X19</f>
        <v/>
      </c>
      <c r="K19" s="14">
        <f>Assumptions!$E$25/4*X19</f>
        <v/>
      </c>
      <c r="L19" s="14">
        <f>Assumptions!$E$26/4*X19</f>
        <v/>
      </c>
      <c r="M19" s="14">
        <f>Assumptions!$E$27/4*X19</f>
        <v/>
      </c>
      <c r="N19" s="14">
        <f>Assumptions!$E$28/4*X19</f>
        <v/>
      </c>
      <c r="O19" s="14">
        <f>IF(A19=0,Assumptions!$E$16+Assumptions!$E$31+Assumptions!$E$32,IF(A19=1,Assumptions!$E$15-Assumptions!$E$16,0))</f>
        <v/>
      </c>
      <c r="P19" s="14">
        <f>Assumptions!$E$29/4*X19</f>
        <v/>
      </c>
      <c r="Q19" s="14">
        <f>SUM(J19:P19)+Z19</f>
        <v/>
      </c>
      <c r="R19" s="14">
        <f>I19-Q19</f>
        <v/>
      </c>
      <c r="S19" s="14">
        <f>S18+R19</f>
        <v/>
      </c>
      <c r="T19" s="14">
        <f>IF(OR(A19=0,A19&gt;Assumptions!$E$12),0,D19*(1-Assumptions!$E$19)/Assumptions!$E$12+IF(A19=1+Assumptions!$E$8,Assumptions!$E$7*(1-Assumptions!$E$19)/Assumptions!$E$12*Assumptions!$E$8,0))+Y19</f>
        <v/>
      </c>
      <c r="U19" s="14">
        <f>IF(A19&gt;Assumptions!$E$12,V18*Assumptions!$E$23,0)</f>
        <v/>
      </c>
      <c r="V19" s="14">
        <f>V18*(1-IF(A19&gt;Assumptions!$E$12,Assumptions!$E$23,0))+T19</f>
        <v/>
      </c>
      <c r="W19" s="14">
        <f>IF(OR(A19=0,A19&gt;Assumptions!$E$13),0,Assumptions!$E$18/4)</f>
        <v/>
      </c>
      <c r="X19" s="15">
        <f>IF(A19=0,0,IF(A19&gt;Assumptions!$E$12,Assumptions!$E$30,1))</f>
        <v/>
      </c>
      <c r="Y19" s="14">
        <f>IF(AND(A19&gt;=9,A19&lt;=Assumptions!$E$12),Assumptions!$E$20*Assumptions!$E$10*Assumptions!$E$9*Assumptions!$E$12/4/(Assumptions!$E$12-8),0)</f>
        <v/>
      </c>
      <c r="Z19" s="14">
        <f>IF(Assumptions!$E$22=1,0,Assumptions!$E$21*(T19-Y19+F19+G19+W19))</f>
        <v/>
      </c>
    </row>
    <row r="20">
      <c r="A20" t="n">
        <v>15</v>
      </c>
      <c r="B20">
        <f>IF(A20=0,0,ROUNDUP(A20/4,0))</f>
        <v/>
      </c>
      <c r="C20">
        <f>IF(A20=0,"Pre-close","Y"&amp;B20&amp;" Q"&amp;(A20-(B20-1)*4))</f>
        <v/>
      </c>
      <c r="D20" s="14">
        <f>IF(A20=0,0,Assumptions!$E$6+IF(A20&gt;=1+Assumptions!$E$8,Assumptions!$E$7,0))</f>
        <v/>
      </c>
      <c r="E20" s="14">
        <f>IF(A20&lt;=Assumptions!$E$12,D20,V19)</f>
        <v/>
      </c>
      <c r="F20" s="14">
        <f>IF(OR(A20=0,A20&gt;Assumptions!$E$13),0,IF(A20&lt;=Assumptions!$E$12,Assumptions!$E$10,Assumptions!$E$11)*E20/4)-IF(Assumptions!$E$22=1,Assumptions!$E$21*(T20-Y20),0)</f>
        <v/>
      </c>
      <c r="G20" s="14">
        <f>IF(A20=1+Assumptions!$E$8,Assumptions!$E$7*Assumptions!$E$10*(Assumptions!$E$8/4)*(1+Assumptions!$E$14*(Assumptions!$E$8/4)/2),0)</f>
        <v/>
      </c>
      <c r="H20" s="14">
        <f>IF(A20=1,MIN(Assumptions!$E$15,Assumptions!$E$17*Assumptions!$E$6),IF(A20=1+Assumptions!$E$8,MIN(Assumptions!$E$15,Assumptions!$E$17*Assumptions!$E$9)-MIN(Assumptions!$E$15,Assumptions!$E$17*Assumptions!$E$6),0))</f>
        <v/>
      </c>
      <c r="I20" s="14">
        <f>F20+G20+H20</f>
        <v/>
      </c>
      <c r="J20" s="14">
        <f>Assumptions!$E$24/4*X20</f>
        <v/>
      </c>
      <c r="K20" s="14">
        <f>Assumptions!$E$25/4*X20</f>
        <v/>
      </c>
      <c r="L20" s="14">
        <f>Assumptions!$E$26/4*X20</f>
        <v/>
      </c>
      <c r="M20" s="14">
        <f>Assumptions!$E$27/4*X20</f>
        <v/>
      </c>
      <c r="N20" s="14">
        <f>Assumptions!$E$28/4*X20</f>
        <v/>
      </c>
      <c r="O20" s="14">
        <f>IF(A20=0,Assumptions!$E$16+Assumptions!$E$31+Assumptions!$E$32,IF(A20=1,Assumptions!$E$15-Assumptions!$E$16,0))</f>
        <v/>
      </c>
      <c r="P20" s="14">
        <f>Assumptions!$E$29/4*X20</f>
        <v/>
      </c>
      <c r="Q20" s="14">
        <f>SUM(J20:P20)+Z20</f>
        <v/>
      </c>
      <c r="R20" s="14">
        <f>I20-Q20</f>
        <v/>
      </c>
      <c r="S20" s="14">
        <f>S19+R20</f>
        <v/>
      </c>
      <c r="T20" s="14">
        <f>IF(OR(A20=0,A20&gt;Assumptions!$E$12),0,D20*(1-Assumptions!$E$19)/Assumptions!$E$12+IF(A20=1+Assumptions!$E$8,Assumptions!$E$7*(1-Assumptions!$E$19)/Assumptions!$E$12*Assumptions!$E$8,0))+Y20</f>
        <v/>
      </c>
      <c r="U20" s="14">
        <f>IF(A20&gt;Assumptions!$E$12,V19*Assumptions!$E$23,0)</f>
        <v/>
      </c>
      <c r="V20" s="14">
        <f>V19*(1-IF(A20&gt;Assumptions!$E$12,Assumptions!$E$23,0))+T20</f>
        <v/>
      </c>
      <c r="W20" s="14">
        <f>IF(OR(A20=0,A20&gt;Assumptions!$E$13),0,Assumptions!$E$18/4)</f>
        <v/>
      </c>
      <c r="X20" s="15">
        <f>IF(A20=0,0,IF(A20&gt;Assumptions!$E$12,Assumptions!$E$30,1))</f>
        <v/>
      </c>
      <c r="Y20" s="14">
        <f>IF(AND(A20&gt;=9,A20&lt;=Assumptions!$E$12),Assumptions!$E$20*Assumptions!$E$10*Assumptions!$E$9*Assumptions!$E$12/4/(Assumptions!$E$12-8),0)</f>
        <v/>
      </c>
      <c r="Z20" s="14">
        <f>IF(Assumptions!$E$22=1,0,Assumptions!$E$21*(T20-Y20+F20+G20+W20))</f>
        <v/>
      </c>
    </row>
    <row r="21">
      <c r="A21" t="n">
        <v>16</v>
      </c>
      <c r="B21">
        <f>IF(A21=0,0,ROUNDUP(A21/4,0))</f>
        <v/>
      </c>
      <c r="C21">
        <f>IF(A21=0,"Pre-close","Y"&amp;B21&amp;" Q"&amp;(A21-(B21-1)*4))</f>
        <v/>
      </c>
      <c r="D21" s="14">
        <f>IF(A21=0,0,Assumptions!$E$6+IF(A21&gt;=1+Assumptions!$E$8,Assumptions!$E$7,0))</f>
        <v/>
      </c>
      <c r="E21" s="14">
        <f>IF(A21&lt;=Assumptions!$E$12,D21,V20)</f>
        <v/>
      </c>
      <c r="F21" s="14">
        <f>IF(OR(A21=0,A21&gt;Assumptions!$E$13),0,IF(A21&lt;=Assumptions!$E$12,Assumptions!$E$10,Assumptions!$E$11)*E21/4)-IF(Assumptions!$E$22=1,Assumptions!$E$21*(T21-Y21),0)</f>
        <v/>
      </c>
      <c r="G21" s="14">
        <f>IF(A21=1+Assumptions!$E$8,Assumptions!$E$7*Assumptions!$E$10*(Assumptions!$E$8/4)*(1+Assumptions!$E$14*(Assumptions!$E$8/4)/2),0)</f>
        <v/>
      </c>
      <c r="H21" s="14">
        <f>IF(A21=1,MIN(Assumptions!$E$15,Assumptions!$E$17*Assumptions!$E$6),IF(A21=1+Assumptions!$E$8,MIN(Assumptions!$E$15,Assumptions!$E$17*Assumptions!$E$9)-MIN(Assumptions!$E$15,Assumptions!$E$17*Assumptions!$E$6),0))</f>
        <v/>
      </c>
      <c r="I21" s="14">
        <f>F21+G21+H21</f>
        <v/>
      </c>
      <c r="J21" s="14">
        <f>Assumptions!$E$24/4*X21</f>
        <v/>
      </c>
      <c r="K21" s="14">
        <f>Assumptions!$E$25/4*X21</f>
        <v/>
      </c>
      <c r="L21" s="14">
        <f>Assumptions!$E$26/4*X21</f>
        <v/>
      </c>
      <c r="M21" s="14">
        <f>Assumptions!$E$27/4*X21</f>
        <v/>
      </c>
      <c r="N21" s="14">
        <f>Assumptions!$E$28/4*X21</f>
        <v/>
      </c>
      <c r="O21" s="14">
        <f>IF(A21=0,Assumptions!$E$16+Assumptions!$E$31+Assumptions!$E$32,IF(A21=1,Assumptions!$E$15-Assumptions!$E$16,0))</f>
        <v/>
      </c>
      <c r="P21" s="14">
        <f>Assumptions!$E$29/4*X21</f>
        <v/>
      </c>
      <c r="Q21" s="14">
        <f>SUM(J21:P21)+Z21</f>
        <v/>
      </c>
      <c r="R21" s="14">
        <f>I21-Q21</f>
        <v/>
      </c>
      <c r="S21" s="14">
        <f>S20+R21</f>
        <v/>
      </c>
      <c r="T21" s="14">
        <f>IF(OR(A21=0,A21&gt;Assumptions!$E$12),0,D21*(1-Assumptions!$E$19)/Assumptions!$E$12+IF(A21=1+Assumptions!$E$8,Assumptions!$E$7*(1-Assumptions!$E$19)/Assumptions!$E$12*Assumptions!$E$8,0))+Y21</f>
        <v/>
      </c>
      <c r="U21" s="14">
        <f>IF(A21&gt;Assumptions!$E$12,V20*Assumptions!$E$23,0)</f>
        <v/>
      </c>
      <c r="V21" s="14">
        <f>V20*(1-IF(A21&gt;Assumptions!$E$12,Assumptions!$E$23,0))+T21</f>
        <v/>
      </c>
      <c r="W21" s="14">
        <f>IF(OR(A21=0,A21&gt;Assumptions!$E$13),0,Assumptions!$E$18/4)</f>
        <v/>
      </c>
      <c r="X21" s="15">
        <f>IF(A21=0,0,IF(A21&gt;Assumptions!$E$12,Assumptions!$E$30,1))</f>
        <v/>
      </c>
      <c r="Y21" s="14">
        <f>IF(AND(A21&gt;=9,A21&lt;=Assumptions!$E$12),Assumptions!$E$20*Assumptions!$E$10*Assumptions!$E$9*Assumptions!$E$12/4/(Assumptions!$E$12-8),0)</f>
        <v/>
      </c>
      <c r="Z21" s="14">
        <f>IF(Assumptions!$E$22=1,0,Assumptions!$E$21*(T21-Y21+F21+G21+W21))</f>
        <v/>
      </c>
    </row>
    <row r="22">
      <c r="A22" t="n">
        <v>17</v>
      </c>
      <c r="B22">
        <f>IF(A22=0,0,ROUNDUP(A22/4,0))</f>
        <v/>
      </c>
      <c r="C22">
        <f>IF(A22=0,"Pre-close","Y"&amp;B22&amp;" Q"&amp;(A22-(B22-1)*4))</f>
        <v/>
      </c>
      <c r="D22" s="14">
        <f>IF(A22=0,0,Assumptions!$E$6+IF(A22&gt;=1+Assumptions!$E$8,Assumptions!$E$7,0))</f>
        <v/>
      </c>
      <c r="E22" s="14">
        <f>IF(A22&lt;=Assumptions!$E$12,D22,V21)</f>
        <v/>
      </c>
      <c r="F22" s="14">
        <f>IF(OR(A22=0,A22&gt;Assumptions!$E$13),0,IF(A22&lt;=Assumptions!$E$12,Assumptions!$E$10,Assumptions!$E$11)*E22/4)-IF(Assumptions!$E$22=1,Assumptions!$E$21*(T22-Y22),0)</f>
        <v/>
      </c>
      <c r="G22" s="14">
        <f>IF(A22=1+Assumptions!$E$8,Assumptions!$E$7*Assumptions!$E$10*(Assumptions!$E$8/4)*(1+Assumptions!$E$14*(Assumptions!$E$8/4)/2),0)</f>
        <v/>
      </c>
      <c r="H22" s="14">
        <f>IF(A22=1,MIN(Assumptions!$E$15,Assumptions!$E$17*Assumptions!$E$6),IF(A22=1+Assumptions!$E$8,MIN(Assumptions!$E$15,Assumptions!$E$17*Assumptions!$E$9)-MIN(Assumptions!$E$15,Assumptions!$E$17*Assumptions!$E$6),0))</f>
        <v/>
      </c>
      <c r="I22" s="14">
        <f>F22+G22+H22</f>
        <v/>
      </c>
      <c r="J22" s="14">
        <f>Assumptions!$E$24/4*X22</f>
        <v/>
      </c>
      <c r="K22" s="14">
        <f>Assumptions!$E$25/4*X22</f>
        <v/>
      </c>
      <c r="L22" s="14">
        <f>Assumptions!$E$26/4*X22</f>
        <v/>
      </c>
      <c r="M22" s="14">
        <f>Assumptions!$E$27/4*X22</f>
        <v/>
      </c>
      <c r="N22" s="14">
        <f>Assumptions!$E$28/4*X22</f>
        <v/>
      </c>
      <c r="O22" s="14">
        <f>IF(A22=0,Assumptions!$E$16+Assumptions!$E$31+Assumptions!$E$32,IF(A22=1,Assumptions!$E$15-Assumptions!$E$16,0))</f>
        <v/>
      </c>
      <c r="P22" s="14">
        <f>Assumptions!$E$29/4*X22</f>
        <v/>
      </c>
      <c r="Q22" s="14">
        <f>SUM(J22:P22)+Z22</f>
        <v/>
      </c>
      <c r="R22" s="14">
        <f>I22-Q22</f>
        <v/>
      </c>
      <c r="S22" s="14">
        <f>S21+R22</f>
        <v/>
      </c>
      <c r="T22" s="14">
        <f>IF(OR(A22=0,A22&gt;Assumptions!$E$12),0,D22*(1-Assumptions!$E$19)/Assumptions!$E$12+IF(A22=1+Assumptions!$E$8,Assumptions!$E$7*(1-Assumptions!$E$19)/Assumptions!$E$12*Assumptions!$E$8,0))+Y22</f>
        <v/>
      </c>
      <c r="U22" s="14">
        <f>IF(A22&gt;Assumptions!$E$12,V21*Assumptions!$E$23,0)</f>
        <v/>
      </c>
      <c r="V22" s="14">
        <f>V21*(1-IF(A22&gt;Assumptions!$E$12,Assumptions!$E$23,0))+T22</f>
        <v/>
      </c>
      <c r="W22" s="14">
        <f>IF(OR(A22=0,A22&gt;Assumptions!$E$13),0,Assumptions!$E$18/4)</f>
        <v/>
      </c>
      <c r="X22" s="15">
        <f>IF(A22=0,0,IF(A22&gt;Assumptions!$E$12,Assumptions!$E$30,1))</f>
        <v/>
      </c>
      <c r="Y22" s="14">
        <f>IF(AND(A22&gt;=9,A22&lt;=Assumptions!$E$12),Assumptions!$E$20*Assumptions!$E$10*Assumptions!$E$9*Assumptions!$E$12/4/(Assumptions!$E$12-8),0)</f>
        <v/>
      </c>
      <c r="Z22" s="14">
        <f>IF(Assumptions!$E$22=1,0,Assumptions!$E$21*(T22-Y22+F22+G22+W22))</f>
        <v/>
      </c>
    </row>
    <row r="23">
      <c r="A23" t="n">
        <v>18</v>
      </c>
      <c r="B23">
        <f>IF(A23=0,0,ROUNDUP(A23/4,0))</f>
        <v/>
      </c>
      <c r="C23">
        <f>IF(A23=0,"Pre-close","Y"&amp;B23&amp;" Q"&amp;(A23-(B23-1)*4))</f>
        <v/>
      </c>
      <c r="D23" s="14">
        <f>IF(A23=0,0,Assumptions!$E$6+IF(A23&gt;=1+Assumptions!$E$8,Assumptions!$E$7,0))</f>
        <v/>
      </c>
      <c r="E23" s="14">
        <f>IF(A23&lt;=Assumptions!$E$12,D23,V22)</f>
        <v/>
      </c>
      <c r="F23" s="14">
        <f>IF(OR(A23=0,A23&gt;Assumptions!$E$13),0,IF(A23&lt;=Assumptions!$E$12,Assumptions!$E$10,Assumptions!$E$11)*E23/4)-IF(Assumptions!$E$22=1,Assumptions!$E$21*(T23-Y23),0)</f>
        <v/>
      </c>
      <c r="G23" s="14">
        <f>IF(A23=1+Assumptions!$E$8,Assumptions!$E$7*Assumptions!$E$10*(Assumptions!$E$8/4)*(1+Assumptions!$E$14*(Assumptions!$E$8/4)/2),0)</f>
        <v/>
      </c>
      <c r="H23" s="14">
        <f>IF(A23=1,MIN(Assumptions!$E$15,Assumptions!$E$17*Assumptions!$E$6),IF(A23=1+Assumptions!$E$8,MIN(Assumptions!$E$15,Assumptions!$E$17*Assumptions!$E$9)-MIN(Assumptions!$E$15,Assumptions!$E$17*Assumptions!$E$6),0))</f>
        <v/>
      </c>
      <c r="I23" s="14">
        <f>F23+G23+H23</f>
        <v/>
      </c>
      <c r="J23" s="14">
        <f>Assumptions!$E$24/4*X23</f>
        <v/>
      </c>
      <c r="K23" s="14">
        <f>Assumptions!$E$25/4*X23</f>
        <v/>
      </c>
      <c r="L23" s="14">
        <f>Assumptions!$E$26/4*X23</f>
        <v/>
      </c>
      <c r="M23" s="14">
        <f>Assumptions!$E$27/4*X23</f>
        <v/>
      </c>
      <c r="N23" s="14">
        <f>Assumptions!$E$28/4*X23</f>
        <v/>
      </c>
      <c r="O23" s="14">
        <f>IF(A23=0,Assumptions!$E$16+Assumptions!$E$31+Assumptions!$E$32,IF(A23=1,Assumptions!$E$15-Assumptions!$E$16,0))</f>
        <v/>
      </c>
      <c r="P23" s="14">
        <f>Assumptions!$E$29/4*X23</f>
        <v/>
      </c>
      <c r="Q23" s="14">
        <f>SUM(J23:P23)+Z23</f>
        <v/>
      </c>
      <c r="R23" s="14">
        <f>I23-Q23</f>
        <v/>
      </c>
      <c r="S23" s="14">
        <f>S22+R23</f>
        <v/>
      </c>
      <c r="T23" s="14">
        <f>IF(OR(A23=0,A23&gt;Assumptions!$E$12),0,D23*(1-Assumptions!$E$19)/Assumptions!$E$12+IF(A23=1+Assumptions!$E$8,Assumptions!$E$7*(1-Assumptions!$E$19)/Assumptions!$E$12*Assumptions!$E$8,0))+Y23</f>
        <v/>
      </c>
      <c r="U23" s="14">
        <f>IF(A23&gt;Assumptions!$E$12,V22*Assumptions!$E$23,0)</f>
        <v/>
      </c>
      <c r="V23" s="14">
        <f>V22*(1-IF(A23&gt;Assumptions!$E$12,Assumptions!$E$23,0))+T23</f>
        <v/>
      </c>
      <c r="W23" s="14">
        <f>IF(OR(A23=0,A23&gt;Assumptions!$E$13),0,Assumptions!$E$18/4)</f>
        <v/>
      </c>
      <c r="X23" s="15">
        <f>IF(A23=0,0,IF(A23&gt;Assumptions!$E$12,Assumptions!$E$30,1))</f>
        <v/>
      </c>
      <c r="Y23" s="14">
        <f>IF(AND(A23&gt;=9,A23&lt;=Assumptions!$E$12),Assumptions!$E$20*Assumptions!$E$10*Assumptions!$E$9*Assumptions!$E$12/4/(Assumptions!$E$12-8),0)</f>
        <v/>
      </c>
      <c r="Z23" s="14">
        <f>IF(Assumptions!$E$22=1,0,Assumptions!$E$21*(T23-Y23+F23+G23+W23))</f>
        <v/>
      </c>
    </row>
    <row r="24">
      <c r="A24" t="n">
        <v>19</v>
      </c>
      <c r="B24">
        <f>IF(A24=0,0,ROUNDUP(A24/4,0))</f>
        <v/>
      </c>
      <c r="C24">
        <f>IF(A24=0,"Pre-close","Y"&amp;B24&amp;" Q"&amp;(A24-(B24-1)*4))</f>
        <v/>
      </c>
      <c r="D24" s="14">
        <f>IF(A24=0,0,Assumptions!$E$6+IF(A24&gt;=1+Assumptions!$E$8,Assumptions!$E$7,0))</f>
        <v/>
      </c>
      <c r="E24" s="14">
        <f>IF(A24&lt;=Assumptions!$E$12,D24,V23)</f>
        <v/>
      </c>
      <c r="F24" s="14">
        <f>IF(OR(A24=0,A24&gt;Assumptions!$E$13),0,IF(A24&lt;=Assumptions!$E$12,Assumptions!$E$10,Assumptions!$E$11)*E24/4)-IF(Assumptions!$E$22=1,Assumptions!$E$21*(T24-Y24),0)</f>
        <v/>
      </c>
      <c r="G24" s="14">
        <f>IF(A24=1+Assumptions!$E$8,Assumptions!$E$7*Assumptions!$E$10*(Assumptions!$E$8/4)*(1+Assumptions!$E$14*(Assumptions!$E$8/4)/2),0)</f>
        <v/>
      </c>
      <c r="H24" s="14">
        <f>IF(A24=1,MIN(Assumptions!$E$15,Assumptions!$E$17*Assumptions!$E$6),IF(A24=1+Assumptions!$E$8,MIN(Assumptions!$E$15,Assumptions!$E$17*Assumptions!$E$9)-MIN(Assumptions!$E$15,Assumptions!$E$17*Assumptions!$E$6),0))</f>
        <v/>
      </c>
      <c r="I24" s="14">
        <f>F24+G24+H24</f>
        <v/>
      </c>
      <c r="J24" s="14">
        <f>Assumptions!$E$24/4*X24</f>
        <v/>
      </c>
      <c r="K24" s="14">
        <f>Assumptions!$E$25/4*X24</f>
        <v/>
      </c>
      <c r="L24" s="14">
        <f>Assumptions!$E$26/4*X24</f>
        <v/>
      </c>
      <c r="M24" s="14">
        <f>Assumptions!$E$27/4*X24</f>
        <v/>
      </c>
      <c r="N24" s="14">
        <f>Assumptions!$E$28/4*X24</f>
        <v/>
      </c>
      <c r="O24" s="14">
        <f>IF(A24=0,Assumptions!$E$16+Assumptions!$E$31+Assumptions!$E$32,IF(A24=1,Assumptions!$E$15-Assumptions!$E$16,0))</f>
        <v/>
      </c>
      <c r="P24" s="14">
        <f>Assumptions!$E$29/4*X24</f>
        <v/>
      </c>
      <c r="Q24" s="14">
        <f>SUM(J24:P24)+Z24</f>
        <v/>
      </c>
      <c r="R24" s="14">
        <f>I24-Q24</f>
        <v/>
      </c>
      <c r="S24" s="14">
        <f>S23+R24</f>
        <v/>
      </c>
      <c r="T24" s="14">
        <f>IF(OR(A24=0,A24&gt;Assumptions!$E$12),0,D24*(1-Assumptions!$E$19)/Assumptions!$E$12+IF(A24=1+Assumptions!$E$8,Assumptions!$E$7*(1-Assumptions!$E$19)/Assumptions!$E$12*Assumptions!$E$8,0))+Y24</f>
        <v/>
      </c>
      <c r="U24" s="14">
        <f>IF(A24&gt;Assumptions!$E$12,V23*Assumptions!$E$23,0)</f>
        <v/>
      </c>
      <c r="V24" s="14">
        <f>V23*(1-IF(A24&gt;Assumptions!$E$12,Assumptions!$E$23,0))+T24</f>
        <v/>
      </c>
      <c r="W24" s="14">
        <f>IF(OR(A24=0,A24&gt;Assumptions!$E$13),0,Assumptions!$E$18/4)</f>
        <v/>
      </c>
      <c r="X24" s="15">
        <f>IF(A24=0,0,IF(A24&gt;Assumptions!$E$12,Assumptions!$E$30,1))</f>
        <v/>
      </c>
      <c r="Y24" s="14">
        <f>IF(AND(A24&gt;=9,A24&lt;=Assumptions!$E$12),Assumptions!$E$20*Assumptions!$E$10*Assumptions!$E$9*Assumptions!$E$12/4/(Assumptions!$E$12-8),0)</f>
        <v/>
      </c>
      <c r="Z24" s="14">
        <f>IF(Assumptions!$E$22=1,0,Assumptions!$E$21*(T24-Y24+F24+G24+W24))</f>
        <v/>
      </c>
    </row>
    <row r="25">
      <c r="A25" t="n">
        <v>20</v>
      </c>
      <c r="B25">
        <f>IF(A25=0,0,ROUNDUP(A25/4,0))</f>
        <v/>
      </c>
      <c r="C25">
        <f>IF(A25=0,"Pre-close","Y"&amp;B25&amp;" Q"&amp;(A25-(B25-1)*4))</f>
        <v/>
      </c>
      <c r="D25" s="14">
        <f>IF(A25=0,0,Assumptions!$E$6+IF(A25&gt;=1+Assumptions!$E$8,Assumptions!$E$7,0))</f>
        <v/>
      </c>
      <c r="E25" s="14">
        <f>IF(A25&lt;=Assumptions!$E$12,D25,V24)</f>
        <v/>
      </c>
      <c r="F25" s="14">
        <f>IF(OR(A25=0,A25&gt;Assumptions!$E$13),0,IF(A25&lt;=Assumptions!$E$12,Assumptions!$E$10,Assumptions!$E$11)*E25/4)-IF(Assumptions!$E$22=1,Assumptions!$E$21*(T25-Y25),0)</f>
        <v/>
      </c>
      <c r="G25" s="14">
        <f>IF(A25=1+Assumptions!$E$8,Assumptions!$E$7*Assumptions!$E$10*(Assumptions!$E$8/4)*(1+Assumptions!$E$14*(Assumptions!$E$8/4)/2),0)</f>
        <v/>
      </c>
      <c r="H25" s="14">
        <f>IF(A25=1,MIN(Assumptions!$E$15,Assumptions!$E$17*Assumptions!$E$6),IF(A25=1+Assumptions!$E$8,MIN(Assumptions!$E$15,Assumptions!$E$17*Assumptions!$E$9)-MIN(Assumptions!$E$15,Assumptions!$E$17*Assumptions!$E$6),0))</f>
        <v/>
      </c>
      <c r="I25" s="14">
        <f>F25+G25+H25</f>
        <v/>
      </c>
      <c r="J25" s="14">
        <f>Assumptions!$E$24/4*X25</f>
        <v/>
      </c>
      <c r="K25" s="14">
        <f>Assumptions!$E$25/4*X25</f>
        <v/>
      </c>
      <c r="L25" s="14">
        <f>Assumptions!$E$26/4*X25</f>
        <v/>
      </c>
      <c r="M25" s="14">
        <f>Assumptions!$E$27/4*X25</f>
        <v/>
      </c>
      <c r="N25" s="14">
        <f>Assumptions!$E$28/4*X25</f>
        <v/>
      </c>
      <c r="O25" s="14">
        <f>IF(A25=0,Assumptions!$E$16+Assumptions!$E$31+Assumptions!$E$32,IF(A25=1,Assumptions!$E$15-Assumptions!$E$16,0))</f>
        <v/>
      </c>
      <c r="P25" s="14">
        <f>Assumptions!$E$29/4*X25</f>
        <v/>
      </c>
      <c r="Q25" s="14">
        <f>SUM(J25:P25)+Z25</f>
        <v/>
      </c>
      <c r="R25" s="14">
        <f>I25-Q25</f>
        <v/>
      </c>
      <c r="S25" s="14">
        <f>S24+R25</f>
        <v/>
      </c>
      <c r="T25" s="14">
        <f>IF(OR(A25=0,A25&gt;Assumptions!$E$12),0,D25*(1-Assumptions!$E$19)/Assumptions!$E$12+IF(A25=1+Assumptions!$E$8,Assumptions!$E$7*(1-Assumptions!$E$19)/Assumptions!$E$12*Assumptions!$E$8,0))+Y25</f>
        <v/>
      </c>
      <c r="U25" s="14">
        <f>IF(A25&gt;Assumptions!$E$12,V24*Assumptions!$E$23,0)</f>
        <v/>
      </c>
      <c r="V25" s="14">
        <f>V24*(1-IF(A25&gt;Assumptions!$E$12,Assumptions!$E$23,0))+T25</f>
        <v/>
      </c>
      <c r="W25" s="14">
        <f>IF(OR(A25=0,A25&gt;Assumptions!$E$13),0,Assumptions!$E$18/4)</f>
        <v/>
      </c>
      <c r="X25" s="15">
        <f>IF(A25=0,0,IF(A25&gt;Assumptions!$E$12,Assumptions!$E$30,1))</f>
        <v/>
      </c>
      <c r="Y25" s="14">
        <f>IF(AND(A25&gt;=9,A25&lt;=Assumptions!$E$12),Assumptions!$E$20*Assumptions!$E$10*Assumptions!$E$9*Assumptions!$E$12/4/(Assumptions!$E$12-8),0)</f>
        <v/>
      </c>
      <c r="Z25" s="14">
        <f>IF(Assumptions!$E$22=1,0,Assumptions!$E$21*(T25-Y25+F25+G25+W25))</f>
        <v/>
      </c>
    </row>
    <row r="26">
      <c r="A26" t="n">
        <v>21</v>
      </c>
      <c r="B26">
        <f>IF(A26=0,0,ROUNDUP(A26/4,0))</f>
        <v/>
      </c>
      <c r="C26">
        <f>IF(A26=0,"Pre-close","Y"&amp;B26&amp;" Q"&amp;(A26-(B26-1)*4))</f>
        <v/>
      </c>
      <c r="D26" s="14">
        <f>IF(A26=0,0,Assumptions!$E$6+IF(A26&gt;=1+Assumptions!$E$8,Assumptions!$E$7,0))</f>
        <v/>
      </c>
      <c r="E26" s="14">
        <f>IF(A26&lt;=Assumptions!$E$12,D26,V25)</f>
        <v/>
      </c>
      <c r="F26" s="14">
        <f>IF(OR(A26=0,A26&gt;Assumptions!$E$13),0,IF(A26&lt;=Assumptions!$E$12,Assumptions!$E$10,Assumptions!$E$11)*E26/4)-IF(Assumptions!$E$22=1,Assumptions!$E$21*(T26-Y26),0)</f>
        <v/>
      </c>
      <c r="G26" s="14">
        <f>IF(A26=1+Assumptions!$E$8,Assumptions!$E$7*Assumptions!$E$10*(Assumptions!$E$8/4)*(1+Assumptions!$E$14*(Assumptions!$E$8/4)/2),0)</f>
        <v/>
      </c>
      <c r="H26" s="14">
        <f>IF(A26=1,MIN(Assumptions!$E$15,Assumptions!$E$17*Assumptions!$E$6),IF(A26=1+Assumptions!$E$8,MIN(Assumptions!$E$15,Assumptions!$E$17*Assumptions!$E$9)-MIN(Assumptions!$E$15,Assumptions!$E$17*Assumptions!$E$6),0))</f>
        <v/>
      </c>
      <c r="I26" s="14">
        <f>F26+G26+H26</f>
        <v/>
      </c>
      <c r="J26" s="14">
        <f>Assumptions!$E$24/4*X26</f>
        <v/>
      </c>
      <c r="K26" s="14">
        <f>Assumptions!$E$25/4*X26</f>
        <v/>
      </c>
      <c r="L26" s="14">
        <f>Assumptions!$E$26/4*X26</f>
        <v/>
      </c>
      <c r="M26" s="14">
        <f>Assumptions!$E$27/4*X26</f>
        <v/>
      </c>
      <c r="N26" s="14">
        <f>Assumptions!$E$28/4*X26</f>
        <v/>
      </c>
      <c r="O26" s="14">
        <f>IF(A26=0,Assumptions!$E$16+Assumptions!$E$31+Assumptions!$E$32,IF(A26=1,Assumptions!$E$15-Assumptions!$E$16,0))</f>
        <v/>
      </c>
      <c r="P26" s="14">
        <f>Assumptions!$E$29/4*X26</f>
        <v/>
      </c>
      <c r="Q26" s="14">
        <f>SUM(J26:P26)+Z26</f>
        <v/>
      </c>
      <c r="R26" s="14">
        <f>I26-Q26</f>
        <v/>
      </c>
      <c r="S26" s="14">
        <f>S25+R26</f>
        <v/>
      </c>
      <c r="T26" s="14">
        <f>IF(OR(A26=0,A26&gt;Assumptions!$E$12),0,D26*(1-Assumptions!$E$19)/Assumptions!$E$12+IF(A26=1+Assumptions!$E$8,Assumptions!$E$7*(1-Assumptions!$E$19)/Assumptions!$E$12*Assumptions!$E$8,0))+Y26</f>
        <v/>
      </c>
      <c r="U26" s="14">
        <f>IF(A26&gt;Assumptions!$E$12,V25*Assumptions!$E$23,0)</f>
        <v/>
      </c>
      <c r="V26" s="14">
        <f>V25*(1-IF(A26&gt;Assumptions!$E$12,Assumptions!$E$23,0))+T26</f>
        <v/>
      </c>
      <c r="W26" s="14">
        <f>IF(OR(A26=0,A26&gt;Assumptions!$E$13),0,Assumptions!$E$18/4)</f>
        <v/>
      </c>
      <c r="X26" s="15">
        <f>IF(A26=0,0,IF(A26&gt;Assumptions!$E$12,Assumptions!$E$30,1))</f>
        <v/>
      </c>
      <c r="Y26" s="14">
        <f>IF(AND(A26&gt;=9,A26&lt;=Assumptions!$E$12),Assumptions!$E$20*Assumptions!$E$10*Assumptions!$E$9*Assumptions!$E$12/4/(Assumptions!$E$12-8),0)</f>
        <v/>
      </c>
      <c r="Z26" s="14">
        <f>IF(Assumptions!$E$22=1,0,Assumptions!$E$21*(T26-Y26+F26+G26+W26))</f>
        <v/>
      </c>
    </row>
    <row r="27">
      <c r="A27" t="n">
        <v>22</v>
      </c>
      <c r="B27">
        <f>IF(A27=0,0,ROUNDUP(A27/4,0))</f>
        <v/>
      </c>
      <c r="C27">
        <f>IF(A27=0,"Pre-close","Y"&amp;B27&amp;" Q"&amp;(A27-(B27-1)*4))</f>
        <v/>
      </c>
      <c r="D27" s="14">
        <f>IF(A27=0,0,Assumptions!$E$6+IF(A27&gt;=1+Assumptions!$E$8,Assumptions!$E$7,0))</f>
        <v/>
      </c>
      <c r="E27" s="14">
        <f>IF(A27&lt;=Assumptions!$E$12,D27,V26)</f>
        <v/>
      </c>
      <c r="F27" s="14">
        <f>IF(OR(A27=0,A27&gt;Assumptions!$E$13),0,IF(A27&lt;=Assumptions!$E$12,Assumptions!$E$10,Assumptions!$E$11)*E27/4)-IF(Assumptions!$E$22=1,Assumptions!$E$21*(T27-Y27),0)</f>
        <v/>
      </c>
      <c r="G27" s="14">
        <f>IF(A27=1+Assumptions!$E$8,Assumptions!$E$7*Assumptions!$E$10*(Assumptions!$E$8/4)*(1+Assumptions!$E$14*(Assumptions!$E$8/4)/2),0)</f>
        <v/>
      </c>
      <c r="H27" s="14">
        <f>IF(A27=1,MIN(Assumptions!$E$15,Assumptions!$E$17*Assumptions!$E$6),IF(A27=1+Assumptions!$E$8,MIN(Assumptions!$E$15,Assumptions!$E$17*Assumptions!$E$9)-MIN(Assumptions!$E$15,Assumptions!$E$17*Assumptions!$E$6),0))</f>
        <v/>
      </c>
      <c r="I27" s="14">
        <f>F27+G27+H27</f>
        <v/>
      </c>
      <c r="J27" s="14">
        <f>Assumptions!$E$24/4*X27</f>
        <v/>
      </c>
      <c r="K27" s="14">
        <f>Assumptions!$E$25/4*X27</f>
        <v/>
      </c>
      <c r="L27" s="14">
        <f>Assumptions!$E$26/4*X27</f>
        <v/>
      </c>
      <c r="M27" s="14">
        <f>Assumptions!$E$27/4*X27</f>
        <v/>
      </c>
      <c r="N27" s="14">
        <f>Assumptions!$E$28/4*X27</f>
        <v/>
      </c>
      <c r="O27" s="14">
        <f>IF(A27=0,Assumptions!$E$16+Assumptions!$E$31+Assumptions!$E$32,IF(A27=1,Assumptions!$E$15-Assumptions!$E$16,0))</f>
        <v/>
      </c>
      <c r="P27" s="14">
        <f>Assumptions!$E$29/4*X27</f>
        <v/>
      </c>
      <c r="Q27" s="14">
        <f>SUM(J27:P27)+Z27</f>
        <v/>
      </c>
      <c r="R27" s="14">
        <f>I27-Q27</f>
        <v/>
      </c>
      <c r="S27" s="14">
        <f>S26+R27</f>
        <v/>
      </c>
      <c r="T27" s="14">
        <f>IF(OR(A27=0,A27&gt;Assumptions!$E$12),0,D27*(1-Assumptions!$E$19)/Assumptions!$E$12+IF(A27=1+Assumptions!$E$8,Assumptions!$E$7*(1-Assumptions!$E$19)/Assumptions!$E$12*Assumptions!$E$8,0))+Y27</f>
        <v/>
      </c>
      <c r="U27" s="14">
        <f>IF(A27&gt;Assumptions!$E$12,V26*Assumptions!$E$23,0)</f>
        <v/>
      </c>
      <c r="V27" s="14">
        <f>V26*(1-IF(A27&gt;Assumptions!$E$12,Assumptions!$E$23,0))+T27</f>
        <v/>
      </c>
      <c r="W27" s="14">
        <f>IF(OR(A27=0,A27&gt;Assumptions!$E$13),0,Assumptions!$E$18/4)</f>
        <v/>
      </c>
      <c r="X27" s="15">
        <f>IF(A27=0,0,IF(A27&gt;Assumptions!$E$12,Assumptions!$E$30,1))</f>
        <v/>
      </c>
      <c r="Y27" s="14">
        <f>IF(AND(A27&gt;=9,A27&lt;=Assumptions!$E$12),Assumptions!$E$20*Assumptions!$E$10*Assumptions!$E$9*Assumptions!$E$12/4/(Assumptions!$E$12-8),0)</f>
        <v/>
      </c>
      <c r="Z27" s="14">
        <f>IF(Assumptions!$E$22=1,0,Assumptions!$E$21*(T27-Y27+F27+G27+W27))</f>
        <v/>
      </c>
    </row>
    <row r="28">
      <c r="A28" t="n">
        <v>23</v>
      </c>
      <c r="B28">
        <f>IF(A28=0,0,ROUNDUP(A28/4,0))</f>
        <v/>
      </c>
      <c r="C28">
        <f>IF(A28=0,"Pre-close","Y"&amp;B28&amp;" Q"&amp;(A28-(B28-1)*4))</f>
        <v/>
      </c>
      <c r="D28" s="14">
        <f>IF(A28=0,0,Assumptions!$E$6+IF(A28&gt;=1+Assumptions!$E$8,Assumptions!$E$7,0))</f>
        <v/>
      </c>
      <c r="E28" s="14">
        <f>IF(A28&lt;=Assumptions!$E$12,D28,V27)</f>
        <v/>
      </c>
      <c r="F28" s="14">
        <f>IF(OR(A28=0,A28&gt;Assumptions!$E$13),0,IF(A28&lt;=Assumptions!$E$12,Assumptions!$E$10,Assumptions!$E$11)*E28/4)-IF(Assumptions!$E$22=1,Assumptions!$E$21*(T28-Y28),0)</f>
        <v/>
      </c>
      <c r="G28" s="14">
        <f>IF(A28=1+Assumptions!$E$8,Assumptions!$E$7*Assumptions!$E$10*(Assumptions!$E$8/4)*(1+Assumptions!$E$14*(Assumptions!$E$8/4)/2),0)</f>
        <v/>
      </c>
      <c r="H28" s="14">
        <f>IF(A28=1,MIN(Assumptions!$E$15,Assumptions!$E$17*Assumptions!$E$6),IF(A28=1+Assumptions!$E$8,MIN(Assumptions!$E$15,Assumptions!$E$17*Assumptions!$E$9)-MIN(Assumptions!$E$15,Assumptions!$E$17*Assumptions!$E$6),0))</f>
        <v/>
      </c>
      <c r="I28" s="14">
        <f>F28+G28+H28</f>
        <v/>
      </c>
      <c r="J28" s="14">
        <f>Assumptions!$E$24/4*X28</f>
        <v/>
      </c>
      <c r="K28" s="14">
        <f>Assumptions!$E$25/4*X28</f>
        <v/>
      </c>
      <c r="L28" s="14">
        <f>Assumptions!$E$26/4*X28</f>
        <v/>
      </c>
      <c r="M28" s="14">
        <f>Assumptions!$E$27/4*X28</f>
        <v/>
      </c>
      <c r="N28" s="14">
        <f>Assumptions!$E$28/4*X28</f>
        <v/>
      </c>
      <c r="O28" s="14">
        <f>IF(A28=0,Assumptions!$E$16+Assumptions!$E$31+Assumptions!$E$32,IF(A28=1,Assumptions!$E$15-Assumptions!$E$16,0))</f>
        <v/>
      </c>
      <c r="P28" s="14">
        <f>Assumptions!$E$29/4*X28</f>
        <v/>
      </c>
      <c r="Q28" s="14">
        <f>SUM(J28:P28)+Z28</f>
        <v/>
      </c>
      <c r="R28" s="14">
        <f>I28-Q28</f>
        <v/>
      </c>
      <c r="S28" s="14">
        <f>S27+R28</f>
        <v/>
      </c>
      <c r="T28" s="14">
        <f>IF(OR(A28=0,A28&gt;Assumptions!$E$12),0,D28*(1-Assumptions!$E$19)/Assumptions!$E$12+IF(A28=1+Assumptions!$E$8,Assumptions!$E$7*(1-Assumptions!$E$19)/Assumptions!$E$12*Assumptions!$E$8,0))+Y28</f>
        <v/>
      </c>
      <c r="U28" s="14">
        <f>IF(A28&gt;Assumptions!$E$12,V27*Assumptions!$E$23,0)</f>
        <v/>
      </c>
      <c r="V28" s="14">
        <f>V27*(1-IF(A28&gt;Assumptions!$E$12,Assumptions!$E$23,0))+T28</f>
        <v/>
      </c>
      <c r="W28" s="14">
        <f>IF(OR(A28=0,A28&gt;Assumptions!$E$13),0,Assumptions!$E$18/4)</f>
        <v/>
      </c>
      <c r="X28" s="15">
        <f>IF(A28=0,0,IF(A28&gt;Assumptions!$E$12,Assumptions!$E$30,1))</f>
        <v/>
      </c>
      <c r="Y28" s="14">
        <f>IF(AND(A28&gt;=9,A28&lt;=Assumptions!$E$12),Assumptions!$E$20*Assumptions!$E$10*Assumptions!$E$9*Assumptions!$E$12/4/(Assumptions!$E$12-8),0)</f>
        <v/>
      </c>
      <c r="Z28" s="14">
        <f>IF(Assumptions!$E$22=1,0,Assumptions!$E$21*(T28-Y28+F28+G28+W28))</f>
        <v/>
      </c>
    </row>
    <row r="29">
      <c r="A29" t="n">
        <v>24</v>
      </c>
      <c r="B29">
        <f>IF(A29=0,0,ROUNDUP(A29/4,0))</f>
        <v/>
      </c>
      <c r="C29">
        <f>IF(A29=0,"Pre-close","Y"&amp;B29&amp;" Q"&amp;(A29-(B29-1)*4))</f>
        <v/>
      </c>
      <c r="D29" s="14">
        <f>IF(A29=0,0,Assumptions!$E$6+IF(A29&gt;=1+Assumptions!$E$8,Assumptions!$E$7,0))</f>
        <v/>
      </c>
      <c r="E29" s="14">
        <f>IF(A29&lt;=Assumptions!$E$12,D29,V28)</f>
        <v/>
      </c>
      <c r="F29" s="14">
        <f>IF(OR(A29=0,A29&gt;Assumptions!$E$13),0,IF(A29&lt;=Assumptions!$E$12,Assumptions!$E$10,Assumptions!$E$11)*E29/4)-IF(Assumptions!$E$22=1,Assumptions!$E$21*(T29-Y29),0)</f>
        <v/>
      </c>
      <c r="G29" s="14">
        <f>IF(A29=1+Assumptions!$E$8,Assumptions!$E$7*Assumptions!$E$10*(Assumptions!$E$8/4)*(1+Assumptions!$E$14*(Assumptions!$E$8/4)/2),0)</f>
        <v/>
      </c>
      <c r="H29" s="14">
        <f>IF(A29=1,MIN(Assumptions!$E$15,Assumptions!$E$17*Assumptions!$E$6),IF(A29=1+Assumptions!$E$8,MIN(Assumptions!$E$15,Assumptions!$E$17*Assumptions!$E$9)-MIN(Assumptions!$E$15,Assumptions!$E$17*Assumptions!$E$6),0))</f>
        <v/>
      </c>
      <c r="I29" s="14">
        <f>F29+G29+H29</f>
        <v/>
      </c>
      <c r="J29" s="14">
        <f>Assumptions!$E$24/4*X29</f>
        <v/>
      </c>
      <c r="K29" s="14">
        <f>Assumptions!$E$25/4*X29</f>
        <v/>
      </c>
      <c r="L29" s="14">
        <f>Assumptions!$E$26/4*X29</f>
        <v/>
      </c>
      <c r="M29" s="14">
        <f>Assumptions!$E$27/4*X29</f>
        <v/>
      </c>
      <c r="N29" s="14">
        <f>Assumptions!$E$28/4*X29</f>
        <v/>
      </c>
      <c r="O29" s="14">
        <f>IF(A29=0,Assumptions!$E$16+Assumptions!$E$31+Assumptions!$E$32,IF(A29=1,Assumptions!$E$15-Assumptions!$E$16,0))</f>
        <v/>
      </c>
      <c r="P29" s="14">
        <f>Assumptions!$E$29/4*X29</f>
        <v/>
      </c>
      <c r="Q29" s="14">
        <f>SUM(J29:P29)+Z29</f>
        <v/>
      </c>
      <c r="R29" s="14">
        <f>I29-Q29</f>
        <v/>
      </c>
      <c r="S29" s="14">
        <f>S28+R29</f>
        <v/>
      </c>
      <c r="T29" s="14">
        <f>IF(OR(A29=0,A29&gt;Assumptions!$E$12),0,D29*(1-Assumptions!$E$19)/Assumptions!$E$12+IF(A29=1+Assumptions!$E$8,Assumptions!$E$7*(1-Assumptions!$E$19)/Assumptions!$E$12*Assumptions!$E$8,0))+Y29</f>
        <v/>
      </c>
      <c r="U29" s="14">
        <f>IF(A29&gt;Assumptions!$E$12,V28*Assumptions!$E$23,0)</f>
        <v/>
      </c>
      <c r="V29" s="14">
        <f>V28*(1-IF(A29&gt;Assumptions!$E$12,Assumptions!$E$23,0))+T29</f>
        <v/>
      </c>
      <c r="W29" s="14">
        <f>IF(OR(A29=0,A29&gt;Assumptions!$E$13),0,Assumptions!$E$18/4)</f>
        <v/>
      </c>
      <c r="X29" s="15">
        <f>IF(A29=0,0,IF(A29&gt;Assumptions!$E$12,Assumptions!$E$30,1))</f>
        <v/>
      </c>
      <c r="Y29" s="14">
        <f>IF(AND(A29&gt;=9,A29&lt;=Assumptions!$E$12),Assumptions!$E$20*Assumptions!$E$10*Assumptions!$E$9*Assumptions!$E$12/4/(Assumptions!$E$12-8),0)</f>
        <v/>
      </c>
      <c r="Z29" s="14">
        <f>IF(Assumptions!$E$22=1,0,Assumptions!$E$21*(T29-Y29+F29+G29+W29))</f>
        <v/>
      </c>
    </row>
    <row r="30">
      <c r="A30" t="n">
        <v>25</v>
      </c>
      <c r="B30">
        <f>IF(A30=0,0,ROUNDUP(A30/4,0))</f>
        <v/>
      </c>
      <c r="C30">
        <f>IF(A30=0,"Pre-close","Y"&amp;B30&amp;" Q"&amp;(A30-(B30-1)*4))</f>
        <v/>
      </c>
      <c r="D30" s="14">
        <f>IF(A30=0,0,Assumptions!$E$6+IF(A30&gt;=1+Assumptions!$E$8,Assumptions!$E$7,0))</f>
        <v/>
      </c>
      <c r="E30" s="14">
        <f>IF(A30&lt;=Assumptions!$E$12,D30,V29)</f>
        <v/>
      </c>
      <c r="F30" s="14">
        <f>IF(OR(A30=0,A30&gt;Assumptions!$E$13),0,IF(A30&lt;=Assumptions!$E$12,Assumptions!$E$10,Assumptions!$E$11)*E30/4)-IF(Assumptions!$E$22=1,Assumptions!$E$21*(T30-Y30),0)</f>
        <v/>
      </c>
      <c r="G30" s="14">
        <f>IF(A30=1+Assumptions!$E$8,Assumptions!$E$7*Assumptions!$E$10*(Assumptions!$E$8/4)*(1+Assumptions!$E$14*(Assumptions!$E$8/4)/2),0)</f>
        <v/>
      </c>
      <c r="H30" s="14">
        <f>IF(A30=1,MIN(Assumptions!$E$15,Assumptions!$E$17*Assumptions!$E$6),IF(A30=1+Assumptions!$E$8,MIN(Assumptions!$E$15,Assumptions!$E$17*Assumptions!$E$9)-MIN(Assumptions!$E$15,Assumptions!$E$17*Assumptions!$E$6),0))</f>
        <v/>
      </c>
      <c r="I30" s="14">
        <f>F30+G30+H30</f>
        <v/>
      </c>
      <c r="J30" s="14">
        <f>Assumptions!$E$24/4*X30</f>
        <v/>
      </c>
      <c r="K30" s="14">
        <f>Assumptions!$E$25/4*X30</f>
        <v/>
      </c>
      <c r="L30" s="14">
        <f>Assumptions!$E$26/4*X30</f>
        <v/>
      </c>
      <c r="M30" s="14">
        <f>Assumptions!$E$27/4*X30</f>
        <v/>
      </c>
      <c r="N30" s="14">
        <f>Assumptions!$E$28/4*X30</f>
        <v/>
      </c>
      <c r="O30" s="14">
        <f>IF(A30=0,Assumptions!$E$16+Assumptions!$E$31+Assumptions!$E$32,IF(A30=1,Assumptions!$E$15-Assumptions!$E$16,0))</f>
        <v/>
      </c>
      <c r="P30" s="14">
        <f>Assumptions!$E$29/4*X30</f>
        <v/>
      </c>
      <c r="Q30" s="14">
        <f>SUM(J30:P30)+Z30</f>
        <v/>
      </c>
      <c r="R30" s="14">
        <f>I30-Q30</f>
        <v/>
      </c>
      <c r="S30" s="14">
        <f>S29+R30</f>
        <v/>
      </c>
      <c r="T30" s="14">
        <f>IF(OR(A30=0,A30&gt;Assumptions!$E$12),0,D30*(1-Assumptions!$E$19)/Assumptions!$E$12+IF(A30=1+Assumptions!$E$8,Assumptions!$E$7*(1-Assumptions!$E$19)/Assumptions!$E$12*Assumptions!$E$8,0))+Y30</f>
        <v/>
      </c>
      <c r="U30" s="14">
        <f>IF(A30&gt;Assumptions!$E$12,V29*Assumptions!$E$23,0)</f>
        <v/>
      </c>
      <c r="V30" s="14">
        <f>V29*(1-IF(A30&gt;Assumptions!$E$12,Assumptions!$E$23,0))+T30</f>
        <v/>
      </c>
      <c r="W30" s="14">
        <f>IF(OR(A30=0,A30&gt;Assumptions!$E$13),0,Assumptions!$E$18/4)</f>
        <v/>
      </c>
      <c r="X30" s="15">
        <f>IF(A30=0,0,IF(A30&gt;Assumptions!$E$12,Assumptions!$E$30,1))</f>
        <v/>
      </c>
      <c r="Y30" s="14">
        <f>IF(AND(A30&gt;=9,A30&lt;=Assumptions!$E$12),Assumptions!$E$20*Assumptions!$E$10*Assumptions!$E$9*Assumptions!$E$12/4/(Assumptions!$E$12-8),0)</f>
        <v/>
      </c>
      <c r="Z30" s="14">
        <f>IF(Assumptions!$E$22=1,0,Assumptions!$E$21*(T30-Y30+F30+G30+W30))</f>
        <v/>
      </c>
    </row>
    <row r="31">
      <c r="A31" t="n">
        <v>26</v>
      </c>
      <c r="B31">
        <f>IF(A31=0,0,ROUNDUP(A31/4,0))</f>
        <v/>
      </c>
      <c r="C31">
        <f>IF(A31=0,"Pre-close","Y"&amp;B31&amp;" Q"&amp;(A31-(B31-1)*4))</f>
        <v/>
      </c>
      <c r="D31" s="14">
        <f>IF(A31=0,0,Assumptions!$E$6+IF(A31&gt;=1+Assumptions!$E$8,Assumptions!$E$7,0))</f>
        <v/>
      </c>
      <c r="E31" s="14">
        <f>IF(A31&lt;=Assumptions!$E$12,D31,V30)</f>
        <v/>
      </c>
      <c r="F31" s="14">
        <f>IF(OR(A31=0,A31&gt;Assumptions!$E$13),0,IF(A31&lt;=Assumptions!$E$12,Assumptions!$E$10,Assumptions!$E$11)*E31/4)-IF(Assumptions!$E$22=1,Assumptions!$E$21*(T31-Y31),0)</f>
        <v/>
      </c>
      <c r="G31" s="14">
        <f>IF(A31=1+Assumptions!$E$8,Assumptions!$E$7*Assumptions!$E$10*(Assumptions!$E$8/4)*(1+Assumptions!$E$14*(Assumptions!$E$8/4)/2),0)</f>
        <v/>
      </c>
      <c r="H31" s="14">
        <f>IF(A31=1,MIN(Assumptions!$E$15,Assumptions!$E$17*Assumptions!$E$6),IF(A31=1+Assumptions!$E$8,MIN(Assumptions!$E$15,Assumptions!$E$17*Assumptions!$E$9)-MIN(Assumptions!$E$15,Assumptions!$E$17*Assumptions!$E$6),0))</f>
        <v/>
      </c>
      <c r="I31" s="14">
        <f>F31+G31+H31</f>
        <v/>
      </c>
      <c r="J31" s="14">
        <f>Assumptions!$E$24/4*X31</f>
        <v/>
      </c>
      <c r="K31" s="14">
        <f>Assumptions!$E$25/4*X31</f>
        <v/>
      </c>
      <c r="L31" s="14">
        <f>Assumptions!$E$26/4*X31</f>
        <v/>
      </c>
      <c r="M31" s="14">
        <f>Assumptions!$E$27/4*X31</f>
        <v/>
      </c>
      <c r="N31" s="14">
        <f>Assumptions!$E$28/4*X31</f>
        <v/>
      </c>
      <c r="O31" s="14">
        <f>IF(A31=0,Assumptions!$E$16+Assumptions!$E$31+Assumptions!$E$32,IF(A31=1,Assumptions!$E$15-Assumptions!$E$16,0))</f>
        <v/>
      </c>
      <c r="P31" s="14">
        <f>Assumptions!$E$29/4*X31</f>
        <v/>
      </c>
      <c r="Q31" s="14">
        <f>SUM(J31:P31)+Z31</f>
        <v/>
      </c>
      <c r="R31" s="14">
        <f>I31-Q31</f>
        <v/>
      </c>
      <c r="S31" s="14">
        <f>S30+R31</f>
        <v/>
      </c>
      <c r="T31" s="14">
        <f>IF(OR(A31=0,A31&gt;Assumptions!$E$12),0,D31*(1-Assumptions!$E$19)/Assumptions!$E$12+IF(A31=1+Assumptions!$E$8,Assumptions!$E$7*(1-Assumptions!$E$19)/Assumptions!$E$12*Assumptions!$E$8,0))+Y31</f>
        <v/>
      </c>
      <c r="U31" s="14">
        <f>IF(A31&gt;Assumptions!$E$12,V30*Assumptions!$E$23,0)</f>
        <v/>
      </c>
      <c r="V31" s="14">
        <f>V30*(1-IF(A31&gt;Assumptions!$E$12,Assumptions!$E$23,0))+T31</f>
        <v/>
      </c>
      <c r="W31" s="14">
        <f>IF(OR(A31=0,A31&gt;Assumptions!$E$13),0,Assumptions!$E$18/4)</f>
        <v/>
      </c>
      <c r="X31" s="15">
        <f>IF(A31=0,0,IF(A31&gt;Assumptions!$E$12,Assumptions!$E$30,1))</f>
        <v/>
      </c>
      <c r="Y31" s="14">
        <f>IF(AND(A31&gt;=9,A31&lt;=Assumptions!$E$12),Assumptions!$E$20*Assumptions!$E$10*Assumptions!$E$9*Assumptions!$E$12/4/(Assumptions!$E$12-8),0)</f>
        <v/>
      </c>
      <c r="Z31" s="14">
        <f>IF(Assumptions!$E$22=1,0,Assumptions!$E$21*(T31-Y31+F31+G31+W31))</f>
        <v/>
      </c>
    </row>
    <row r="32">
      <c r="A32" t="n">
        <v>27</v>
      </c>
      <c r="B32">
        <f>IF(A32=0,0,ROUNDUP(A32/4,0))</f>
        <v/>
      </c>
      <c r="C32">
        <f>IF(A32=0,"Pre-close","Y"&amp;B32&amp;" Q"&amp;(A32-(B32-1)*4))</f>
        <v/>
      </c>
      <c r="D32" s="14">
        <f>IF(A32=0,0,Assumptions!$E$6+IF(A32&gt;=1+Assumptions!$E$8,Assumptions!$E$7,0))</f>
        <v/>
      </c>
      <c r="E32" s="14">
        <f>IF(A32&lt;=Assumptions!$E$12,D32,V31)</f>
        <v/>
      </c>
      <c r="F32" s="14">
        <f>IF(OR(A32=0,A32&gt;Assumptions!$E$13),0,IF(A32&lt;=Assumptions!$E$12,Assumptions!$E$10,Assumptions!$E$11)*E32/4)-IF(Assumptions!$E$22=1,Assumptions!$E$21*(T32-Y32),0)</f>
        <v/>
      </c>
      <c r="G32" s="14">
        <f>IF(A32=1+Assumptions!$E$8,Assumptions!$E$7*Assumptions!$E$10*(Assumptions!$E$8/4)*(1+Assumptions!$E$14*(Assumptions!$E$8/4)/2),0)</f>
        <v/>
      </c>
      <c r="H32" s="14">
        <f>IF(A32=1,MIN(Assumptions!$E$15,Assumptions!$E$17*Assumptions!$E$6),IF(A32=1+Assumptions!$E$8,MIN(Assumptions!$E$15,Assumptions!$E$17*Assumptions!$E$9)-MIN(Assumptions!$E$15,Assumptions!$E$17*Assumptions!$E$6),0))</f>
        <v/>
      </c>
      <c r="I32" s="14">
        <f>F32+G32+H32</f>
        <v/>
      </c>
      <c r="J32" s="14">
        <f>Assumptions!$E$24/4*X32</f>
        <v/>
      </c>
      <c r="K32" s="14">
        <f>Assumptions!$E$25/4*X32</f>
        <v/>
      </c>
      <c r="L32" s="14">
        <f>Assumptions!$E$26/4*X32</f>
        <v/>
      </c>
      <c r="M32" s="14">
        <f>Assumptions!$E$27/4*X32</f>
        <v/>
      </c>
      <c r="N32" s="14">
        <f>Assumptions!$E$28/4*X32</f>
        <v/>
      </c>
      <c r="O32" s="14">
        <f>IF(A32=0,Assumptions!$E$16+Assumptions!$E$31+Assumptions!$E$32,IF(A32=1,Assumptions!$E$15-Assumptions!$E$16,0))</f>
        <v/>
      </c>
      <c r="P32" s="14">
        <f>Assumptions!$E$29/4*X32</f>
        <v/>
      </c>
      <c r="Q32" s="14">
        <f>SUM(J32:P32)+Z32</f>
        <v/>
      </c>
      <c r="R32" s="14">
        <f>I32-Q32</f>
        <v/>
      </c>
      <c r="S32" s="14">
        <f>S31+R32</f>
        <v/>
      </c>
      <c r="T32" s="14">
        <f>IF(OR(A32=0,A32&gt;Assumptions!$E$12),0,D32*(1-Assumptions!$E$19)/Assumptions!$E$12+IF(A32=1+Assumptions!$E$8,Assumptions!$E$7*(1-Assumptions!$E$19)/Assumptions!$E$12*Assumptions!$E$8,0))+Y32</f>
        <v/>
      </c>
      <c r="U32" s="14">
        <f>IF(A32&gt;Assumptions!$E$12,V31*Assumptions!$E$23,0)</f>
        <v/>
      </c>
      <c r="V32" s="14">
        <f>V31*(1-IF(A32&gt;Assumptions!$E$12,Assumptions!$E$23,0))+T32</f>
        <v/>
      </c>
      <c r="W32" s="14">
        <f>IF(OR(A32=0,A32&gt;Assumptions!$E$13),0,Assumptions!$E$18/4)</f>
        <v/>
      </c>
      <c r="X32" s="15">
        <f>IF(A32=0,0,IF(A32&gt;Assumptions!$E$12,Assumptions!$E$30,1))</f>
        <v/>
      </c>
      <c r="Y32" s="14">
        <f>IF(AND(A32&gt;=9,A32&lt;=Assumptions!$E$12),Assumptions!$E$20*Assumptions!$E$10*Assumptions!$E$9*Assumptions!$E$12/4/(Assumptions!$E$12-8),0)</f>
        <v/>
      </c>
      <c r="Z32" s="14">
        <f>IF(Assumptions!$E$22=1,0,Assumptions!$E$21*(T32-Y32+F32+G32+W32))</f>
        <v/>
      </c>
    </row>
    <row r="33">
      <c r="A33" t="n">
        <v>28</v>
      </c>
      <c r="B33">
        <f>IF(A33=0,0,ROUNDUP(A33/4,0))</f>
        <v/>
      </c>
      <c r="C33">
        <f>IF(A33=0,"Pre-close","Y"&amp;B33&amp;" Q"&amp;(A33-(B33-1)*4))</f>
        <v/>
      </c>
      <c r="D33" s="14">
        <f>IF(A33=0,0,Assumptions!$E$6+IF(A33&gt;=1+Assumptions!$E$8,Assumptions!$E$7,0))</f>
        <v/>
      </c>
      <c r="E33" s="14">
        <f>IF(A33&lt;=Assumptions!$E$12,D33,V32)</f>
        <v/>
      </c>
      <c r="F33" s="14">
        <f>IF(OR(A33=0,A33&gt;Assumptions!$E$13),0,IF(A33&lt;=Assumptions!$E$12,Assumptions!$E$10,Assumptions!$E$11)*E33/4)-IF(Assumptions!$E$22=1,Assumptions!$E$21*(T33-Y33),0)</f>
        <v/>
      </c>
      <c r="G33" s="14">
        <f>IF(A33=1+Assumptions!$E$8,Assumptions!$E$7*Assumptions!$E$10*(Assumptions!$E$8/4)*(1+Assumptions!$E$14*(Assumptions!$E$8/4)/2),0)</f>
        <v/>
      </c>
      <c r="H33" s="14">
        <f>IF(A33=1,MIN(Assumptions!$E$15,Assumptions!$E$17*Assumptions!$E$6),IF(A33=1+Assumptions!$E$8,MIN(Assumptions!$E$15,Assumptions!$E$17*Assumptions!$E$9)-MIN(Assumptions!$E$15,Assumptions!$E$17*Assumptions!$E$6),0))</f>
        <v/>
      </c>
      <c r="I33" s="14">
        <f>F33+G33+H33</f>
        <v/>
      </c>
      <c r="J33" s="14">
        <f>Assumptions!$E$24/4*X33</f>
        <v/>
      </c>
      <c r="K33" s="14">
        <f>Assumptions!$E$25/4*X33</f>
        <v/>
      </c>
      <c r="L33" s="14">
        <f>Assumptions!$E$26/4*X33</f>
        <v/>
      </c>
      <c r="M33" s="14">
        <f>Assumptions!$E$27/4*X33</f>
        <v/>
      </c>
      <c r="N33" s="14">
        <f>Assumptions!$E$28/4*X33</f>
        <v/>
      </c>
      <c r="O33" s="14">
        <f>IF(A33=0,Assumptions!$E$16+Assumptions!$E$31+Assumptions!$E$32,IF(A33=1,Assumptions!$E$15-Assumptions!$E$16,0))</f>
        <v/>
      </c>
      <c r="P33" s="14">
        <f>Assumptions!$E$29/4*X33</f>
        <v/>
      </c>
      <c r="Q33" s="14">
        <f>SUM(J33:P33)+Z33</f>
        <v/>
      </c>
      <c r="R33" s="14">
        <f>I33-Q33</f>
        <v/>
      </c>
      <c r="S33" s="14">
        <f>S32+R33</f>
        <v/>
      </c>
      <c r="T33" s="14">
        <f>IF(OR(A33=0,A33&gt;Assumptions!$E$12),0,D33*(1-Assumptions!$E$19)/Assumptions!$E$12+IF(A33=1+Assumptions!$E$8,Assumptions!$E$7*(1-Assumptions!$E$19)/Assumptions!$E$12*Assumptions!$E$8,0))+Y33</f>
        <v/>
      </c>
      <c r="U33" s="14">
        <f>IF(A33&gt;Assumptions!$E$12,V32*Assumptions!$E$23,0)</f>
        <v/>
      </c>
      <c r="V33" s="14">
        <f>V32*(1-IF(A33&gt;Assumptions!$E$12,Assumptions!$E$23,0))+T33</f>
        <v/>
      </c>
      <c r="W33" s="14">
        <f>IF(OR(A33=0,A33&gt;Assumptions!$E$13),0,Assumptions!$E$18/4)</f>
        <v/>
      </c>
      <c r="X33" s="15">
        <f>IF(A33=0,0,IF(A33&gt;Assumptions!$E$12,Assumptions!$E$30,1))</f>
        <v/>
      </c>
      <c r="Y33" s="14">
        <f>IF(AND(A33&gt;=9,A33&lt;=Assumptions!$E$12),Assumptions!$E$20*Assumptions!$E$10*Assumptions!$E$9*Assumptions!$E$12/4/(Assumptions!$E$12-8),0)</f>
        <v/>
      </c>
      <c r="Z33" s="14">
        <f>IF(Assumptions!$E$22=1,0,Assumptions!$E$21*(T33-Y33+F33+G33+W33))</f>
        <v/>
      </c>
    </row>
    <row r="34">
      <c r="A34" t="n">
        <v>29</v>
      </c>
      <c r="B34">
        <f>IF(A34=0,0,ROUNDUP(A34/4,0))</f>
        <v/>
      </c>
      <c r="C34">
        <f>IF(A34=0,"Pre-close","Y"&amp;B34&amp;" Q"&amp;(A34-(B34-1)*4))</f>
        <v/>
      </c>
      <c r="D34" s="14">
        <f>IF(A34=0,0,Assumptions!$E$6+IF(A34&gt;=1+Assumptions!$E$8,Assumptions!$E$7,0))</f>
        <v/>
      </c>
      <c r="E34" s="14">
        <f>IF(A34&lt;=Assumptions!$E$12,D34,V33)</f>
        <v/>
      </c>
      <c r="F34" s="14">
        <f>IF(OR(A34=0,A34&gt;Assumptions!$E$13),0,IF(A34&lt;=Assumptions!$E$12,Assumptions!$E$10,Assumptions!$E$11)*E34/4)-IF(Assumptions!$E$22=1,Assumptions!$E$21*(T34-Y34),0)</f>
        <v/>
      </c>
      <c r="G34" s="14">
        <f>IF(A34=1+Assumptions!$E$8,Assumptions!$E$7*Assumptions!$E$10*(Assumptions!$E$8/4)*(1+Assumptions!$E$14*(Assumptions!$E$8/4)/2),0)</f>
        <v/>
      </c>
      <c r="H34" s="14">
        <f>IF(A34=1,MIN(Assumptions!$E$15,Assumptions!$E$17*Assumptions!$E$6),IF(A34=1+Assumptions!$E$8,MIN(Assumptions!$E$15,Assumptions!$E$17*Assumptions!$E$9)-MIN(Assumptions!$E$15,Assumptions!$E$17*Assumptions!$E$6),0))</f>
        <v/>
      </c>
      <c r="I34" s="14">
        <f>F34+G34+H34</f>
        <v/>
      </c>
      <c r="J34" s="14">
        <f>Assumptions!$E$24/4*X34</f>
        <v/>
      </c>
      <c r="K34" s="14">
        <f>Assumptions!$E$25/4*X34</f>
        <v/>
      </c>
      <c r="L34" s="14">
        <f>Assumptions!$E$26/4*X34</f>
        <v/>
      </c>
      <c r="M34" s="14">
        <f>Assumptions!$E$27/4*X34</f>
        <v/>
      </c>
      <c r="N34" s="14">
        <f>Assumptions!$E$28/4*X34</f>
        <v/>
      </c>
      <c r="O34" s="14">
        <f>IF(A34=0,Assumptions!$E$16+Assumptions!$E$31+Assumptions!$E$32,IF(A34=1,Assumptions!$E$15-Assumptions!$E$16,0))</f>
        <v/>
      </c>
      <c r="P34" s="14">
        <f>Assumptions!$E$29/4*X34</f>
        <v/>
      </c>
      <c r="Q34" s="14">
        <f>SUM(J34:P34)+Z34</f>
        <v/>
      </c>
      <c r="R34" s="14">
        <f>I34-Q34</f>
        <v/>
      </c>
      <c r="S34" s="14">
        <f>S33+R34</f>
        <v/>
      </c>
      <c r="T34" s="14">
        <f>IF(OR(A34=0,A34&gt;Assumptions!$E$12),0,D34*(1-Assumptions!$E$19)/Assumptions!$E$12+IF(A34=1+Assumptions!$E$8,Assumptions!$E$7*(1-Assumptions!$E$19)/Assumptions!$E$12*Assumptions!$E$8,0))+Y34</f>
        <v/>
      </c>
      <c r="U34" s="14">
        <f>IF(A34&gt;Assumptions!$E$12,V33*Assumptions!$E$23,0)</f>
        <v/>
      </c>
      <c r="V34" s="14">
        <f>V33*(1-IF(A34&gt;Assumptions!$E$12,Assumptions!$E$23,0))+T34</f>
        <v/>
      </c>
      <c r="W34" s="14">
        <f>IF(OR(A34=0,A34&gt;Assumptions!$E$13),0,Assumptions!$E$18/4)</f>
        <v/>
      </c>
      <c r="X34" s="15">
        <f>IF(A34=0,0,IF(A34&gt;Assumptions!$E$12,Assumptions!$E$30,1))</f>
        <v/>
      </c>
      <c r="Y34" s="14">
        <f>IF(AND(A34&gt;=9,A34&lt;=Assumptions!$E$12),Assumptions!$E$20*Assumptions!$E$10*Assumptions!$E$9*Assumptions!$E$12/4/(Assumptions!$E$12-8),0)</f>
        <v/>
      </c>
      <c r="Z34" s="14">
        <f>IF(Assumptions!$E$22=1,0,Assumptions!$E$21*(T34-Y34+F34+G34+W34))</f>
        <v/>
      </c>
    </row>
    <row r="35">
      <c r="A35" t="n">
        <v>30</v>
      </c>
      <c r="B35">
        <f>IF(A35=0,0,ROUNDUP(A35/4,0))</f>
        <v/>
      </c>
      <c r="C35">
        <f>IF(A35=0,"Pre-close","Y"&amp;B35&amp;" Q"&amp;(A35-(B35-1)*4))</f>
        <v/>
      </c>
      <c r="D35" s="14">
        <f>IF(A35=0,0,Assumptions!$E$6+IF(A35&gt;=1+Assumptions!$E$8,Assumptions!$E$7,0))</f>
        <v/>
      </c>
      <c r="E35" s="14">
        <f>IF(A35&lt;=Assumptions!$E$12,D35,V34)</f>
        <v/>
      </c>
      <c r="F35" s="14">
        <f>IF(OR(A35=0,A35&gt;Assumptions!$E$13),0,IF(A35&lt;=Assumptions!$E$12,Assumptions!$E$10,Assumptions!$E$11)*E35/4)-IF(Assumptions!$E$22=1,Assumptions!$E$21*(T35-Y35),0)</f>
        <v/>
      </c>
      <c r="G35" s="14">
        <f>IF(A35=1+Assumptions!$E$8,Assumptions!$E$7*Assumptions!$E$10*(Assumptions!$E$8/4)*(1+Assumptions!$E$14*(Assumptions!$E$8/4)/2),0)</f>
        <v/>
      </c>
      <c r="H35" s="14">
        <f>IF(A35=1,MIN(Assumptions!$E$15,Assumptions!$E$17*Assumptions!$E$6),IF(A35=1+Assumptions!$E$8,MIN(Assumptions!$E$15,Assumptions!$E$17*Assumptions!$E$9)-MIN(Assumptions!$E$15,Assumptions!$E$17*Assumptions!$E$6),0))</f>
        <v/>
      </c>
      <c r="I35" s="14">
        <f>F35+G35+H35</f>
        <v/>
      </c>
      <c r="J35" s="14">
        <f>Assumptions!$E$24/4*X35</f>
        <v/>
      </c>
      <c r="K35" s="14">
        <f>Assumptions!$E$25/4*X35</f>
        <v/>
      </c>
      <c r="L35" s="14">
        <f>Assumptions!$E$26/4*X35</f>
        <v/>
      </c>
      <c r="M35" s="14">
        <f>Assumptions!$E$27/4*X35</f>
        <v/>
      </c>
      <c r="N35" s="14">
        <f>Assumptions!$E$28/4*X35</f>
        <v/>
      </c>
      <c r="O35" s="14">
        <f>IF(A35=0,Assumptions!$E$16+Assumptions!$E$31+Assumptions!$E$32,IF(A35=1,Assumptions!$E$15-Assumptions!$E$16,0))</f>
        <v/>
      </c>
      <c r="P35" s="14">
        <f>Assumptions!$E$29/4*X35</f>
        <v/>
      </c>
      <c r="Q35" s="14">
        <f>SUM(J35:P35)+Z35</f>
        <v/>
      </c>
      <c r="R35" s="14">
        <f>I35-Q35</f>
        <v/>
      </c>
      <c r="S35" s="14">
        <f>S34+R35</f>
        <v/>
      </c>
      <c r="T35" s="14">
        <f>IF(OR(A35=0,A35&gt;Assumptions!$E$12),0,D35*(1-Assumptions!$E$19)/Assumptions!$E$12+IF(A35=1+Assumptions!$E$8,Assumptions!$E$7*(1-Assumptions!$E$19)/Assumptions!$E$12*Assumptions!$E$8,0))+Y35</f>
        <v/>
      </c>
      <c r="U35" s="14">
        <f>IF(A35&gt;Assumptions!$E$12,V34*Assumptions!$E$23,0)</f>
        <v/>
      </c>
      <c r="V35" s="14">
        <f>V34*(1-IF(A35&gt;Assumptions!$E$12,Assumptions!$E$23,0))+T35</f>
        <v/>
      </c>
      <c r="W35" s="14">
        <f>IF(OR(A35=0,A35&gt;Assumptions!$E$13),0,Assumptions!$E$18/4)</f>
        <v/>
      </c>
      <c r="X35" s="15">
        <f>IF(A35=0,0,IF(A35&gt;Assumptions!$E$12,Assumptions!$E$30,1))</f>
        <v/>
      </c>
      <c r="Y35" s="14">
        <f>IF(AND(A35&gt;=9,A35&lt;=Assumptions!$E$12),Assumptions!$E$20*Assumptions!$E$10*Assumptions!$E$9*Assumptions!$E$12/4/(Assumptions!$E$12-8),0)</f>
        <v/>
      </c>
      <c r="Z35" s="14">
        <f>IF(Assumptions!$E$22=1,0,Assumptions!$E$21*(T35-Y35+F35+G35+W35))</f>
        <v/>
      </c>
    </row>
    <row r="36">
      <c r="A36" t="n">
        <v>31</v>
      </c>
      <c r="B36">
        <f>IF(A36=0,0,ROUNDUP(A36/4,0))</f>
        <v/>
      </c>
      <c r="C36">
        <f>IF(A36=0,"Pre-close","Y"&amp;B36&amp;" Q"&amp;(A36-(B36-1)*4))</f>
        <v/>
      </c>
      <c r="D36" s="14">
        <f>IF(A36=0,0,Assumptions!$E$6+IF(A36&gt;=1+Assumptions!$E$8,Assumptions!$E$7,0))</f>
        <v/>
      </c>
      <c r="E36" s="14">
        <f>IF(A36&lt;=Assumptions!$E$12,D36,V35)</f>
        <v/>
      </c>
      <c r="F36" s="14">
        <f>IF(OR(A36=0,A36&gt;Assumptions!$E$13),0,IF(A36&lt;=Assumptions!$E$12,Assumptions!$E$10,Assumptions!$E$11)*E36/4)-IF(Assumptions!$E$22=1,Assumptions!$E$21*(T36-Y36),0)</f>
        <v/>
      </c>
      <c r="G36" s="14">
        <f>IF(A36=1+Assumptions!$E$8,Assumptions!$E$7*Assumptions!$E$10*(Assumptions!$E$8/4)*(1+Assumptions!$E$14*(Assumptions!$E$8/4)/2),0)</f>
        <v/>
      </c>
      <c r="H36" s="14">
        <f>IF(A36=1,MIN(Assumptions!$E$15,Assumptions!$E$17*Assumptions!$E$6),IF(A36=1+Assumptions!$E$8,MIN(Assumptions!$E$15,Assumptions!$E$17*Assumptions!$E$9)-MIN(Assumptions!$E$15,Assumptions!$E$17*Assumptions!$E$6),0))</f>
        <v/>
      </c>
      <c r="I36" s="14">
        <f>F36+G36+H36</f>
        <v/>
      </c>
      <c r="J36" s="14">
        <f>Assumptions!$E$24/4*X36</f>
        <v/>
      </c>
      <c r="K36" s="14">
        <f>Assumptions!$E$25/4*X36</f>
        <v/>
      </c>
      <c r="L36" s="14">
        <f>Assumptions!$E$26/4*X36</f>
        <v/>
      </c>
      <c r="M36" s="14">
        <f>Assumptions!$E$27/4*X36</f>
        <v/>
      </c>
      <c r="N36" s="14">
        <f>Assumptions!$E$28/4*X36</f>
        <v/>
      </c>
      <c r="O36" s="14">
        <f>IF(A36=0,Assumptions!$E$16+Assumptions!$E$31+Assumptions!$E$32,IF(A36=1,Assumptions!$E$15-Assumptions!$E$16,0))</f>
        <v/>
      </c>
      <c r="P36" s="14">
        <f>Assumptions!$E$29/4*X36</f>
        <v/>
      </c>
      <c r="Q36" s="14">
        <f>SUM(J36:P36)+Z36</f>
        <v/>
      </c>
      <c r="R36" s="14">
        <f>I36-Q36</f>
        <v/>
      </c>
      <c r="S36" s="14">
        <f>S35+R36</f>
        <v/>
      </c>
      <c r="T36" s="14">
        <f>IF(OR(A36=0,A36&gt;Assumptions!$E$12),0,D36*(1-Assumptions!$E$19)/Assumptions!$E$12+IF(A36=1+Assumptions!$E$8,Assumptions!$E$7*(1-Assumptions!$E$19)/Assumptions!$E$12*Assumptions!$E$8,0))+Y36</f>
        <v/>
      </c>
      <c r="U36" s="14">
        <f>IF(A36&gt;Assumptions!$E$12,V35*Assumptions!$E$23,0)</f>
        <v/>
      </c>
      <c r="V36" s="14">
        <f>V35*(1-IF(A36&gt;Assumptions!$E$12,Assumptions!$E$23,0))+T36</f>
        <v/>
      </c>
      <c r="W36" s="14">
        <f>IF(OR(A36=0,A36&gt;Assumptions!$E$13),0,Assumptions!$E$18/4)</f>
        <v/>
      </c>
      <c r="X36" s="15">
        <f>IF(A36=0,0,IF(A36&gt;Assumptions!$E$12,Assumptions!$E$30,1))</f>
        <v/>
      </c>
      <c r="Y36" s="14">
        <f>IF(AND(A36&gt;=9,A36&lt;=Assumptions!$E$12),Assumptions!$E$20*Assumptions!$E$10*Assumptions!$E$9*Assumptions!$E$12/4/(Assumptions!$E$12-8),0)</f>
        <v/>
      </c>
      <c r="Z36" s="14">
        <f>IF(Assumptions!$E$22=1,0,Assumptions!$E$21*(T36-Y36+F36+G36+W36))</f>
        <v/>
      </c>
    </row>
    <row r="37">
      <c r="A37" t="n">
        <v>32</v>
      </c>
      <c r="B37">
        <f>IF(A37=0,0,ROUNDUP(A37/4,0))</f>
        <v/>
      </c>
      <c r="C37">
        <f>IF(A37=0,"Pre-close","Y"&amp;B37&amp;" Q"&amp;(A37-(B37-1)*4))</f>
        <v/>
      </c>
      <c r="D37" s="14">
        <f>IF(A37=0,0,Assumptions!$E$6+IF(A37&gt;=1+Assumptions!$E$8,Assumptions!$E$7,0))</f>
        <v/>
      </c>
      <c r="E37" s="14">
        <f>IF(A37&lt;=Assumptions!$E$12,D37,V36)</f>
        <v/>
      </c>
      <c r="F37" s="14">
        <f>IF(OR(A37=0,A37&gt;Assumptions!$E$13),0,IF(A37&lt;=Assumptions!$E$12,Assumptions!$E$10,Assumptions!$E$11)*E37/4)-IF(Assumptions!$E$22=1,Assumptions!$E$21*(T37-Y37),0)</f>
        <v/>
      </c>
      <c r="G37" s="14">
        <f>IF(A37=1+Assumptions!$E$8,Assumptions!$E$7*Assumptions!$E$10*(Assumptions!$E$8/4)*(1+Assumptions!$E$14*(Assumptions!$E$8/4)/2),0)</f>
        <v/>
      </c>
      <c r="H37" s="14">
        <f>IF(A37=1,MIN(Assumptions!$E$15,Assumptions!$E$17*Assumptions!$E$6),IF(A37=1+Assumptions!$E$8,MIN(Assumptions!$E$15,Assumptions!$E$17*Assumptions!$E$9)-MIN(Assumptions!$E$15,Assumptions!$E$17*Assumptions!$E$6),0))</f>
        <v/>
      </c>
      <c r="I37" s="14">
        <f>F37+G37+H37</f>
        <v/>
      </c>
      <c r="J37" s="14">
        <f>Assumptions!$E$24/4*X37</f>
        <v/>
      </c>
      <c r="K37" s="14">
        <f>Assumptions!$E$25/4*X37</f>
        <v/>
      </c>
      <c r="L37" s="14">
        <f>Assumptions!$E$26/4*X37</f>
        <v/>
      </c>
      <c r="M37" s="14">
        <f>Assumptions!$E$27/4*X37</f>
        <v/>
      </c>
      <c r="N37" s="14">
        <f>Assumptions!$E$28/4*X37</f>
        <v/>
      </c>
      <c r="O37" s="14">
        <f>IF(A37=0,Assumptions!$E$16+Assumptions!$E$31+Assumptions!$E$32,IF(A37=1,Assumptions!$E$15-Assumptions!$E$16,0))</f>
        <v/>
      </c>
      <c r="P37" s="14">
        <f>Assumptions!$E$29/4*X37</f>
        <v/>
      </c>
      <c r="Q37" s="14">
        <f>SUM(J37:P37)+Z37</f>
        <v/>
      </c>
      <c r="R37" s="14">
        <f>I37-Q37</f>
        <v/>
      </c>
      <c r="S37" s="14">
        <f>S36+R37</f>
        <v/>
      </c>
      <c r="T37" s="14">
        <f>IF(OR(A37=0,A37&gt;Assumptions!$E$12),0,D37*(1-Assumptions!$E$19)/Assumptions!$E$12+IF(A37=1+Assumptions!$E$8,Assumptions!$E$7*(1-Assumptions!$E$19)/Assumptions!$E$12*Assumptions!$E$8,0))+Y37</f>
        <v/>
      </c>
      <c r="U37" s="14">
        <f>IF(A37&gt;Assumptions!$E$12,V36*Assumptions!$E$23,0)</f>
        <v/>
      </c>
      <c r="V37" s="14">
        <f>V36*(1-IF(A37&gt;Assumptions!$E$12,Assumptions!$E$23,0))+T37</f>
        <v/>
      </c>
      <c r="W37" s="14">
        <f>IF(OR(A37=0,A37&gt;Assumptions!$E$13),0,Assumptions!$E$18/4)</f>
        <v/>
      </c>
      <c r="X37" s="15">
        <f>IF(A37=0,0,IF(A37&gt;Assumptions!$E$12,Assumptions!$E$30,1))</f>
        <v/>
      </c>
      <c r="Y37" s="14">
        <f>IF(AND(A37&gt;=9,A37&lt;=Assumptions!$E$12),Assumptions!$E$20*Assumptions!$E$10*Assumptions!$E$9*Assumptions!$E$12/4/(Assumptions!$E$12-8),0)</f>
        <v/>
      </c>
      <c r="Z37" s="14">
        <f>IF(Assumptions!$E$22=1,0,Assumptions!$E$21*(T37-Y37+F37+G37+W37))</f>
        <v/>
      </c>
    </row>
    <row r="38">
      <c r="A38" t="n">
        <v>33</v>
      </c>
      <c r="B38">
        <f>IF(A38=0,0,ROUNDUP(A38/4,0))</f>
        <v/>
      </c>
      <c r="C38">
        <f>IF(A38=0,"Pre-close","Y"&amp;B38&amp;" Q"&amp;(A38-(B38-1)*4))</f>
        <v/>
      </c>
      <c r="D38" s="14">
        <f>IF(A38=0,0,Assumptions!$E$6+IF(A38&gt;=1+Assumptions!$E$8,Assumptions!$E$7,0))</f>
        <v/>
      </c>
      <c r="E38" s="14">
        <f>IF(A38&lt;=Assumptions!$E$12,D38,V37)</f>
        <v/>
      </c>
      <c r="F38" s="14">
        <f>IF(OR(A38=0,A38&gt;Assumptions!$E$13),0,IF(A38&lt;=Assumptions!$E$12,Assumptions!$E$10,Assumptions!$E$11)*E38/4)-IF(Assumptions!$E$22=1,Assumptions!$E$21*(T38-Y38),0)</f>
        <v/>
      </c>
      <c r="G38" s="14">
        <f>IF(A38=1+Assumptions!$E$8,Assumptions!$E$7*Assumptions!$E$10*(Assumptions!$E$8/4)*(1+Assumptions!$E$14*(Assumptions!$E$8/4)/2),0)</f>
        <v/>
      </c>
      <c r="H38" s="14">
        <f>IF(A38=1,MIN(Assumptions!$E$15,Assumptions!$E$17*Assumptions!$E$6),IF(A38=1+Assumptions!$E$8,MIN(Assumptions!$E$15,Assumptions!$E$17*Assumptions!$E$9)-MIN(Assumptions!$E$15,Assumptions!$E$17*Assumptions!$E$6),0))</f>
        <v/>
      </c>
      <c r="I38" s="14">
        <f>F38+G38+H38</f>
        <v/>
      </c>
      <c r="J38" s="14">
        <f>Assumptions!$E$24/4*X38</f>
        <v/>
      </c>
      <c r="K38" s="14">
        <f>Assumptions!$E$25/4*X38</f>
        <v/>
      </c>
      <c r="L38" s="14">
        <f>Assumptions!$E$26/4*X38</f>
        <v/>
      </c>
      <c r="M38" s="14">
        <f>Assumptions!$E$27/4*X38</f>
        <v/>
      </c>
      <c r="N38" s="14">
        <f>Assumptions!$E$28/4*X38</f>
        <v/>
      </c>
      <c r="O38" s="14">
        <f>IF(A38=0,Assumptions!$E$16+Assumptions!$E$31+Assumptions!$E$32,IF(A38=1,Assumptions!$E$15-Assumptions!$E$16,0))</f>
        <v/>
      </c>
      <c r="P38" s="14">
        <f>Assumptions!$E$29/4*X38</f>
        <v/>
      </c>
      <c r="Q38" s="14">
        <f>SUM(J38:P38)+Z38</f>
        <v/>
      </c>
      <c r="R38" s="14">
        <f>I38-Q38</f>
        <v/>
      </c>
      <c r="S38" s="14">
        <f>S37+R38</f>
        <v/>
      </c>
      <c r="T38" s="14">
        <f>IF(OR(A38=0,A38&gt;Assumptions!$E$12),0,D38*(1-Assumptions!$E$19)/Assumptions!$E$12+IF(A38=1+Assumptions!$E$8,Assumptions!$E$7*(1-Assumptions!$E$19)/Assumptions!$E$12*Assumptions!$E$8,0))+Y38</f>
        <v/>
      </c>
      <c r="U38" s="14">
        <f>IF(A38&gt;Assumptions!$E$12,V37*Assumptions!$E$23,0)</f>
        <v/>
      </c>
      <c r="V38" s="14">
        <f>V37*(1-IF(A38&gt;Assumptions!$E$12,Assumptions!$E$23,0))+T38</f>
        <v/>
      </c>
      <c r="W38" s="14">
        <f>IF(OR(A38=0,A38&gt;Assumptions!$E$13),0,Assumptions!$E$18/4)</f>
        <v/>
      </c>
      <c r="X38" s="15">
        <f>IF(A38=0,0,IF(A38&gt;Assumptions!$E$12,Assumptions!$E$30,1))</f>
        <v/>
      </c>
      <c r="Y38" s="14">
        <f>IF(AND(A38&gt;=9,A38&lt;=Assumptions!$E$12),Assumptions!$E$20*Assumptions!$E$10*Assumptions!$E$9*Assumptions!$E$12/4/(Assumptions!$E$12-8),0)</f>
        <v/>
      </c>
      <c r="Z38" s="14">
        <f>IF(Assumptions!$E$22=1,0,Assumptions!$E$21*(T38-Y38+F38+G38+W38))</f>
        <v/>
      </c>
    </row>
    <row r="39">
      <c r="A39" t="n">
        <v>34</v>
      </c>
      <c r="B39">
        <f>IF(A39=0,0,ROUNDUP(A39/4,0))</f>
        <v/>
      </c>
      <c r="C39">
        <f>IF(A39=0,"Pre-close","Y"&amp;B39&amp;" Q"&amp;(A39-(B39-1)*4))</f>
        <v/>
      </c>
      <c r="D39" s="14">
        <f>IF(A39=0,0,Assumptions!$E$6+IF(A39&gt;=1+Assumptions!$E$8,Assumptions!$E$7,0))</f>
        <v/>
      </c>
      <c r="E39" s="14">
        <f>IF(A39&lt;=Assumptions!$E$12,D39,V38)</f>
        <v/>
      </c>
      <c r="F39" s="14">
        <f>IF(OR(A39=0,A39&gt;Assumptions!$E$13),0,IF(A39&lt;=Assumptions!$E$12,Assumptions!$E$10,Assumptions!$E$11)*E39/4)-IF(Assumptions!$E$22=1,Assumptions!$E$21*(T39-Y39),0)</f>
        <v/>
      </c>
      <c r="G39" s="14">
        <f>IF(A39=1+Assumptions!$E$8,Assumptions!$E$7*Assumptions!$E$10*(Assumptions!$E$8/4)*(1+Assumptions!$E$14*(Assumptions!$E$8/4)/2),0)</f>
        <v/>
      </c>
      <c r="H39" s="14">
        <f>IF(A39=1,MIN(Assumptions!$E$15,Assumptions!$E$17*Assumptions!$E$6),IF(A39=1+Assumptions!$E$8,MIN(Assumptions!$E$15,Assumptions!$E$17*Assumptions!$E$9)-MIN(Assumptions!$E$15,Assumptions!$E$17*Assumptions!$E$6),0))</f>
        <v/>
      </c>
      <c r="I39" s="14">
        <f>F39+G39+H39</f>
        <v/>
      </c>
      <c r="J39" s="14">
        <f>Assumptions!$E$24/4*X39</f>
        <v/>
      </c>
      <c r="K39" s="14">
        <f>Assumptions!$E$25/4*X39</f>
        <v/>
      </c>
      <c r="L39" s="14">
        <f>Assumptions!$E$26/4*X39</f>
        <v/>
      </c>
      <c r="M39" s="14">
        <f>Assumptions!$E$27/4*X39</f>
        <v/>
      </c>
      <c r="N39" s="14">
        <f>Assumptions!$E$28/4*X39</f>
        <v/>
      </c>
      <c r="O39" s="14">
        <f>IF(A39=0,Assumptions!$E$16+Assumptions!$E$31+Assumptions!$E$32,IF(A39=1,Assumptions!$E$15-Assumptions!$E$16,0))</f>
        <v/>
      </c>
      <c r="P39" s="14">
        <f>Assumptions!$E$29/4*X39</f>
        <v/>
      </c>
      <c r="Q39" s="14">
        <f>SUM(J39:P39)+Z39</f>
        <v/>
      </c>
      <c r="R39" s="14">
        <f>I39-Q39</f>
        <v/>
      </c>
      <c r="S39" s="14">
        <f>S38+R39</f>
        <v/>
      </c>
      <c r="T39" s="14">
        <f>IF(OR(A39=0,A39&gt;Assumptions!$E$12),0,D39*(1-Assumptions!$E$19)/Assumptions!$E$12+IF(A39=1+Assumptions!$E$8,Assumptions!$E$7*(1-Assumptions!$E$19)/Assumptions!$E$12*Assumptions!$E$8,0))+Y39</f>
        <v/>
      </c>
      <c r="U39" s="14">
        <f>IF(A39&gt;Assumptions!$E$12,V38*Assumptions!$E$23,0)</f>
        <v/>
      </c>
      <c r="V39" s="14">
        <f>V38*(1-IF(A39&gt;Assumptions!$E$12,Assumptions!$E$23,0))+T39</f>
        <v/>
      </c>
      <c r="W39" s="14">
        <f>IF(OR(A39=0,A39&gt;Assumptions!$E$13),0,Assumptions!$E$18/4)</f>
        <v/>
      </c>
      <c r="X39" s="15">
        <f>IF(A39=0,0,IF(A39&gt;Assumptions!$E$12,Assumptions!$E$30,1))</f>
        <v/>
      </c>
      <c r="Y39" s="14">
        <f>IF(AND(A39&gt;=9,A39&lt;=Assumptions!$E$12),Assumptions!$E$20*Assumptions!$E$10*Assumptions!$E$9*Assumptions!$E$12/4/(Assumptions!$E$12-8),0)</f>
        <v/>
      </c>
      <c r="Z39" s="14">
        <f>IF(Assumptions!$E$22=1,0,Assumptions!$E$21*(T39-Y39+F39+G39+W39))</f>
        <v/>
      </c>
    </row>
    <row r="40">
      <c r="A40" t="n">
        <v>35</v>
      </c>
      <c r="B40">
        <f>IF(A40=0,0,ROUNDUP(A40/4,0))</f>
        <v/>
      </c>
      <c r="C40">
        <f>IF(A40=0,"Pre-close","Y"&amp;B40&amp;" Q"&amp;(A40-(B40-1)*4))</f>
        <v/>
      </c>
      <c r="D40" s="14">
        <f>IF(A40=0,0,Assumptions!$E$6+IF(A40&gt;=1+Assumptions!$E$8,Assumptions!$E$7,0))</f>
        <v/>
      </c>
      <c r="E40" s="14">
        <f>IF(A40&lt;=Assumptions!$E$12,D40,V39)</f>
        <v/>
      </c>
      <c r="F40" s="14">
        <f>IF(OR(A40=0,A40&gt;Assumptions!$E$13),0,IF(A40&lt;=Assumptions!$E$12,Assumptions!$E$10,Assumptions!$E$11)*E40/4)-IF(Assumptions!$E$22=1,Assumptions!$E$21*(T40-Y40),0)</f>
        <v/>
      </c>
      <c r="G40" s="14">
        <f>IF(A40=1+Assumptions!$E$8,Assumptions!$E$7*Assumptions!$E$10*(Assumptions!$E$8/4)*(1+Assumptions!$E$14*(Assumptions!$E$8/4)/2),0)</f>
        <v/>
      </c>
      <c r="H40" s="14">
        <f>IF(A40=1,MIN(Assumptions!$E$15,Assumptions!$E$17*Assumptions!$E$6),IF(A40=1+Assumptions!$E$8,MIN(Assumptions!$E$15,Assumptions!$E$17*Assumptions!$E$9)-MIN(Assumptions!$E$15,Assumptions!$E$17*Assumptions!$E$6),0))</f>
        <v/>
      </c>
      <c r="I40" s="14">
        <f>F40+G40+H40</f>
        <v/>
      </c>
      <c r="J40" s="14">
        <f>Assumptions!$E$24/4*X40</f>
        <v/>
      </c>
      <c r="K40" s="14">
        <f>Assumptions!$E$25/4*X40</f>
        <v/>
      </c>
      <c r="L40" s="14">
        <f>Assumptions!$E$26/4*X40</f>
        <v/>
      </c>
      <c r="M40" s="14">
        <f>Assumptions!$E$27/4*X40</f>
        <v/>
      </c>
      <c r="N40" s="14">
        <f>Assumptions!$E$28/4*X40</f>
        <v/>
      </c>
      <c r="O40" s="14">
        <f>IF(A40=0,Assumptions!$E$16+Assumptions!$E$31+Assumptions!$E$32,IF(A40=1,Assumptions!$E$15-Assumptions!$E$16,0))</f>
        <v/>
      </c>
      <c r="P40" s="14">
        <f>Assumptions!$E$29/4*X40</f>
        <v/>
      </c>
      <c r="Q40" s="14">
        <f>SUM(J40:P40)+Z40</f>
        <v/>
      </c>
      <c r="R40" s="14">
        <f>I40-Q40</f>
        <v/>
      </c>
      <c r="S40" s="14">
        <f>S39+R40</f>
        <v/>
      </c>
      <c r="T40" s="14">
        <f>IF(OR(A40=0,A40&gt;Assumptions!$E$12),0,D40*(1-Assumptions!$E$19)/Assumptions!$E$12+IF(A40=1+Assumptions!$E$8,Assumptions!$E$7*(1-Assumptions!$E$19)/Assumptions!$E$12*Assumptions!$E$8,0))+Y40</f>
        <v/>
      </c>
      <c r="U40" s="14">
        <f>IF(A40&gt;Assumptions!$E$12,V39*Assumptions!$E$23,0)</f>
        <v/>
      </c>
      <c r="V40" s="14">
        <f>V39*(1-IF(A40&gt;Assumptions!$E$12,Assumptions!$E$23,0))+T40</f>
        <v/>
      </c>
      <c r="W40" s="14">
        <f>IF(OR(A40=0,A40&gt;Assumptions!$E$13),0,Assumptions!$E$18/4)</f>
        <v/>
      </c>
      <c r="X40" s="15">
        <f>IF(A40=0,0,IF(A40&gt;Assumptions!$E$12,Assumptions!$E$30,1))</f>
        <v/>
      </c>
      <c r="Y40" s="14">
        <f>IF(AND(A40&gt;=9,A40&lt;=Assumptions!$E$12),Assumptions!$E$20*Assumptions!$E$10*Assumptions!$E$9*Assumptions!$E$12/4/(Assumptions!$E$12-8),0)</f>
        <v/>
      </c>
      <c r="Z40" s="14">
        <f>IF(Assumptions!$E$22=1,0,Assumptions!$E$21*(T40-Y40+F40+G40+W40))</f>
        <v/>
      </c>
    </row>
    <row r="41">
      <c r="A41" t="n">
        <v>36</v>
      </c>
      <c r="B41">
        <f>IF(A41=0,0,ROUNDUP(A41/4,0))</f>
        <v/>
      </c>
      <c r="C41">
        <f>IF(A41=0,"Pre-close","Y"&amp;B41&amp;" Q"&amp;(A41-(B41-1)*4))</f>
        <v/>
      </c>
      <c r="D41" s="14">
        <f>IF(A41=0,0,Assumptions!$E$6+IF(A41&gt;=1+Assumptions!$E$8,Assumptions!$E$7,0))</f>
        <v/>
      </c>
      <c r="E41" s="14">
        <f>IF(A41&lt;=Assumptions!$E$12,D41,V40)</f>
        <v/>
      </c>
      <c r="F41" s="14">
        <f>IF(OR(A41=0,A41&gt;Assumptions!$E$13),0,IF(A41&lt;=Assumptions!$E$12,Assumptions!$E$10,Assumptions!$E$11)*E41/4)-IF(Assumptions!$E$22=1,Assumptions!$E$21*(T41-Y41),0)</f>
        <v/>
      </c>
      <c r="G41" s="14">
        <f>IF(A41=1+Assumptions!$E$8,Assumptions!$E$7*Assumptions!$E$10*(Assumptions!$E$8/4)*(1+Assumptions!$E$14*(Assumptions!$E$8/4)/2),0)</f>
        <v/>
      </c>
      <c r="H41" s="14">
        <f>IF(A41=1,MIN(Assumptions!$E$15,Assumptions!$E$17*Assumptions!$E$6),IF(A41=1+Assumptions!$E$8,MIN(Assumptions!$E$15,Assumptions!$E$17*Assumptions!$E$9)-MIN(Assumptions!$E$15,Assumptions!$E$17*Assumptions!$E$6),0))</f>
        <v/>
      </c>
      <c r="I41" s="14">
        <f>F41+G41+H41</f>
        <v/>
      </c>
      <c r="J41" s="14">
        <f>Assumptions!$E$24/4*X41</f>
        <v/>
      </c>
      <c r="K41" s="14">
        <f>Assumptions!$E$25/4*X41</f>
        <v/>
      </c>
      <c r="L41" s="14">
        <f>Assumptions!$E$26/4*X41</f>
        <v/>
      </c>
      <c r="M41" s="14">
        <f>Assumptions!$E$27/4*X41</f>
        <v/>
      </c>
      <c r="N41" s="14">
        <f>Assumptions!$E$28/4*X41</f>
        <v/>
      </c>
      <c r="O41" s="14">
        <f>IF(A41=0,Assumptions!$E$16+Assumptions!$E$31+Assumptions!$E$32,IF(A41=1,Assumptions!$E$15-Assumptions!$E$16,0))</f>
        <v/>
      </c>
      <c r="P41" s="14">
        <f>Assumptions!$E$29/4*X41</f>
        <v/>
      </c>
      <c r="Q41" s="14">
        <f>SUM(J41:P41)+Z41</f>
        <v/>
      </c>
      <c r="R41" s="14">
        <f>I41-Q41</f>
        <v/>
      </c>
      <c r="S41" s="14">
        <f>S40+R41</f>
        <v/>
      </c>
      <c r="T41" s="14">
        <f>IF(OR(A41=0,A41&gt;Assumptions!$E$12),0,D41*(1-Assumptions!$E$19)/Assumptions!$E$12+IF(A41=1+Assumptions!$E$8,Assumptions!$E$7*(1-Assumptions!$E$19)/Assumptions!$E$12*Assumptions!$E$8,0))+Y41</f>
        <v/>
      </c>
      <c r="U41" s="14">
        <f>IF(A41&gt;Assumptions!$E$12,V40*Assumptions!$E$23,0)</f>
        <v/>
      </c>
      <c r="V41" s="14">
        <f>V40*(1-IF(A41&gt;Assumptions!$E$12,Assumptions!$E$23,0))+T41</f>
        <v/>
      </c>
      <c r="W41" s="14">
        <f>IF(OR(A41=0,A41&gt;Assumptions!$E$13),0,Assumptions!$E$18/4)</f>
        <v/>
      </c>
      <c r="X41" s="15">
        <f>IF(A41=0,0,IF(A41&gt;Assumptions!$E$12,Assumptions!$E$30,1))</f>
        <v/>
      </c>
      <c r="Y41" s="14">
        <f>IF(AND(A41&gt;=9,A41&lt;=Assumptions!$E$12),Assumptions!$E$20*Assumptions!$E$10*Assumptions!$E$9*Assumptions!$E$12/4/(Assumptions!$E$12-8),0)</f>
        <v/>
      </c>
      <c r="Z41" s="14">
        <f>IF(Assumptions!$E$22=1,0,Assumptions!$E$21*(T41-Y41+F41+G41+W41))</f>
        <v/>
      </c>
    </row>
    <row r="42">
      <c r="A42" t="n">
        <v>37</v>
      </c>
      <c r="B42">
        <f>IF(A42=0,0,ROUNDUP(A42/4,0))</f>
        <v/>
      </c>
      <c r="C42">
        <f>IF(A42=0,"Pre-close","Y"&amp;B42&amp;" Q"&amp;(A42-(B42-1)*4))</f>
        <v/>
      </c>
      <c r="D42" s="14">
        <f>IF(A42=0,0,Assumptions!$E$6+IF(A42&gt;=1+Assumptions!$E$8,Assumptions!$E$7,0))</f>
        <v/>
      </c>
      <c r="E42" s="14">
        <f>IF(A42&lt;=Assumptions!$E$12,D42,V41)</f>
        <v/>
      </c>
      <c r="F42" s="14">
        <f>IF(OR(A42=0,A42&gt;Assumptions!$E$13),0,IF(A42&lt;=Assumptions!$E$12,Assumptions!$E$10,Assumptions!$E$11)*E42/4)-IF(Assumptions!$E$22=1,Assumptions!$E$21*(T42-Y42),0)</f>
        <v/>
      </c>
      <c r="G42" s="14">
        <f>IF(A42=1+Assumptions!$E$8,Assumptions!$E$7*Assumptions!$E$10*(Assumptions!$E$8/4)*(1+Assumptions!$E$14*(Assumptions!$E$8/4)/2),0)</f>
        <v/>
      </c>
      <c r="H42" s="14">
        <f>IF(A42=1,MIN(Assumptions!$E$15,Assumptions!$E$17*Assumptions!$E$6),IF(A42=1+Assumptions!$E$8,MIN(Assumptions!$E$15,Assumptions!$E$17*Assumptions!$E$9)-MIN(Assumptions!$E$15,Assumptions!$E$17*Assumptions!$E$6),0))</f>
        <v/>
      </c>
      <c r="I42" s="14">
        <f>F42+G42+H42</f>
        <v/>
      </c>
      <c r="J42" s="14">
        <f>Assumptions!$E$24/4*X42</f>
        <v/>
      </c>
      <c r="K42" s="14">
        <f>Assumptions!$E$25/4*X42</f>
        <v/>
      </c>
      <c r="L42" s="14">
        <f>Assumptions!$E$26/4*X42</f>
        <v/>
      </c>
      <c r="M42" s="14">
        <f>Assumptions!$E$27/4*X42</f>
        <v/>
      </c>
      <c r="N42" s="14">
        <f>Assumptions!$E$28/4*X42</f>
        <v/>
      </c>
      <c r="O42" s="14">
        <f>IF(A42=0,Assumptions!$E$16+Assumptions!$E$31+Assumptions!$E$32,IF(A42=1,Assumptions!$E$15-Assumptions!$E$16,0))</f>
        <v/>
      </c>
      <c r="P42" s="14">
        <f>Assumptions!$E$29/4*X42</f>
        <v/>
      </c>
      <c r="Q42" s="14">
        <f>SUM(J42:P42)+Z42</f>
        <v/>
      </c>
      <c r="R42" s="14">
        <f>I42-Q42</f>
        <v/>
      </c>
      <c r="S42" s="14">
        <f>S41+R42</f>
        <v/>
      </c>
      <c r="T42" s="14">
        <f>IF(OR(A42=0,A42&gt;Assumptions!$E$12),0,D42*(1-Assumptions!$E$19)/Assumptions!$E$12+IF(A42=1+Assumptions!$E$8,Assumptions!$E$7*(1-Assumptions!$E$19)/Assumptions!$E$12*Assumptions!$E$8,0))+Y42</f>
        <v/>
      </c>
      <c r="U42" s="14">
        <f>IF(A42&gt;Assumptions!$E$12,V41*Assumptions!$E$23,0)</f>
        <v/>
      </c>
      <c r="V42" s="14">
        <f>V41*(1-IF(A42&gt;Assumptions!$E$12,Assumptions!$E$23,0))+T42</f>
        <v/>
      </c>
      <c r="W42" s="14">
        <f>IF(OR(A42=0,A42&gt;Assumptions!$E$13),0,Assumptions!$E$18/4)</f>
        <v/>
      </c>
      <c r="X42" s="15">
        <f>IF(A42=0,0,IF(A42&gt;Assumptions!$E$12,Assumptions!$E$30,1))</f>
        <v/>
      </c>
      <c r="Y42" s="14">
        <f>IF(AND(A42&gt;=9,A42&lt;=Assumptions!$E$12),Assumptions!$E$20*Assumptions!$E$10*Assumptions!$E$9*Assumptions!$E$12/4/(Assumptions!$E$12-8),0)</f>
        <v/>
      </c>
      <c r="Z42" s="14">
        <f>IF(Assumptions!$E$22=1,0,Assumptions!$E$21*(T42-Y42+F42+G42+W42))</f>
        <v/>
      </c>
    </row>
    <row r="43">
      <c r="A43" t="n">
        <v>38</v>
      </c>
      <c r="B43">
        <f>IF(A43=0,0,ROUNDUP(A43/4,0))</f>
        <v/>
      </c>
      <c r="C43">
        <f>IF(A43=0,"Pre-close","Y"&amp;B43&amp;" Q"&amp;(A43-(B43-1)*4))</f>
        <v/>
      </c>
      <c r="D43" s="14">
        <f>IF(A43=0,0,Assumptions!$E$6+IF(A43&gt;=1+Assumptions!$E$8,Assumptions!$E$7,0))</f>
        <v/>
      </c>
      <c r="E43" s="14">
        <f>IF(A43&lt;=Assumptions!$E$12,D43,V42)</f>
        <v/>
      </c>
      <c r="F43" s="14">
        <f>IF(OR(A43=0,A43&gt;Assumptions!$E$13),0,IF(A43&lt;=Assumptions!$E$12,Assumptions!$E$10,Assumptions!$E$11)*E43/4)-IF(Assumptions!$E$22=1,Assumptions!$E$21*(T43-Y43),0)</f>
        <v/>
      </c>
      <c r="G43" s="14">
        <f>IF(A43=1+Assumptions!$E$8,Assumptions!$E$7*Assumptions!$E$10*(Assumptions!$E$8/4)*(1+Assumptions!$E$14*(Assumptions!$E$8/4)/2),0)</f>
        <v/>
      </c>
      <c r="H43" s="14">
        <f>IF(A43=1,MIN(Assumptions!$E$15,Assumptions!$E$17*Assumptions!$E$6),IF(A43=1+Assumptions!$E$8,MIN(Assumptions!$E$15,Assumptions!$E$17*Assumptions!$E$9)-MIN(Assumptions!$E$15,Assumptions!$E$17*Assumptions!$E$6),0))</f>
        <v/>
      </c>
      <c r="I43" s="14">
        <f>F43+G43+H43</f>
        <v/>
      </c>
      <c r="J43" s="14">
        <f>Assumptions!$E$24/4*X43</f>
        <v/>
      </c>
      <c r="K43" s="14">
        <f>Assumptions!$E$25/4*X43</f>
        <v/>
      </c>
      <c r="L43" s="14">
        <f>Assumptions!$E$26/4*X43</f>
        <v/>
      </c>
      <c r="M43" s="14">
        <f>Assumptions!$E$27/4*X43</f>
        <v/>
      </c>
      <c r="N43" s="14">
        <f>Assumptions!$E$28/4*X43</f>
        <v/>
      </c>
      <c r="O43" s="14">
        <f>IF(A43=0,Assumptions!$E$16+Assumptions!$E$31+Assumptions!$E$32,IF(A43=1,Assumptions!$E$15-Assumptions!$E$16,0))</f>
        <v/>
      </c>
      <c r="P43" s="14">
        <f>Assumptions!$E$29/4*X43</f>
        <v/>
      </c>
      <c r="Q43" s="14">
        <f>SUM(J43:P43)+Z43</f>
        <v/>
      </c>
      <c r="R43" s="14">
        <f>I43-Q43</f>
        <v/>
      </c>
      <c r="S43" s="14">
        <f>S42+R43</f>
        <v/>
      </c>
      <c r="T43" s="14">
        <f>IF(OR(A43=0,A43&gt;Assumptions!$E$12),0,D43*(1-Assumptions!$E$19)/Assumptions!$E$12+IF(A43=1+Assumptions!$E$8,Assumptions!$E$7*(1-Assumptions!$E$19)/Assumptions!$E$12*Assumptions!$E$8,0))+Y43</f>
        <v/>
      </c>
      <c r="U43" s="14">
        <f>IF(A43&gt;Assumptions!$E$12,V42*Assumptions!$E$23,0)</f>
        <v/>
      </c>
      <c r="V43" s="14">
        <f>V42*(1-IF(A43&gt;Assumptions!$E$12,Assumptions!$E$23,0))+T43</f>
        <v/>
      </c>
      <c r="W43" s="14">
        <f>IF(OR(A43=0,A43&gt;Assumptions!$E$13),0,Assumptions!$E$18/4)</f>
        <v/>
      </c>
      <c r="X43" s="15">
        <f>IF(A43=0,0,IF(A43&gt;Assumptions!$E$12,Assumptions!$E$30,1))</f>
        <v/>
      </c>
      <c r="Y43" s="14">
        <f>IF(AND(A43&gt;=9,A43&lt;=Assumptions!$E$12),Assumptions!$E$20*Assumptions!$E$10*Assumptions!$E$9*Assumptions!$E$12/4/(Assumptions!$E$12-8),0)</f>
        <v/>
      </c>
      <c r="Z43" s="14">
        <f>IF(Assumptions!$E$22=1,0,Assumptions!$E$21*(T43-Y43+F43+G43+W43))</f>
        <v/>
      </c>
    </row>
    <row r="44">
      <c r="A44" t="n">
        <v>39</v>
      </c>
      <c r="B44">
        <f>IF(A44=0,0,ROUNDUP(A44/4,0))</f>
        <v/>
      </c>
      <c r="C44">
        <f>IF(A44=0,"Pre-close","Y"&amp;B44&amp;" Q"&amp;(A44-(B44-1)*4))</f>
        <v/>
      </c>
      <c r="D44" s="14">
        <f>IF(A44=0,0,Assumptions!$E$6+IF(A44&gt;=1+Assumptions!$E$8,Assumptions!$E$7,0))</f>
        <v/>
      </c>
      <c r="E44" s="14">
        <f>IF(A44&lt;=Assumptions!$E$12,D44,V43)</f>
        <v/>
      </c>
      <c r="F44" s="14">
        <f>IF(OR(A44=0,A44&gt;Assumptions!$E$13),0,IF(A44&lt;=Assumptions!$E$12,Assumptions!$E$10,Assumptions!$E$11)*E44/4)-IF(Assumptions!$E$22=1,Assumptions!$E$21*(T44-Y44),0)</f>
        <v/>
      </c>
      <c r="G44" s="14">
        <f>IF(A44=1+Assumptions!$E$8,Assumptions!$E$7*Assumptions!$E$10*(Assumptions!$E$8/4)*(1+Assumptions!$E$14*(Assumptions!$E$8/4)/2),0)</f>
        <v/>
      </c>
      <c r="H44" s="14">
        <f>IF(A44=1,MIN(Assumptions!$E$15,Assumptions!$E$17*Assumptions!$E$6),IF(A44=1+Assumptions!$E$8,MIN(Assumptions!$E$15,Assumptions!$E$17*Assumptions!$E$9)-MIN(Assumptions!$E$15,Assumptions!$E$17*Assumptions!$E$6),0))</f>
        <v/>
      </c>
      <c r="I44" s="14">
        <f>F44+G44+H44</f>
        <v/>
      </c>
      <c r="J44" s="14">
        <f>Assumptions!$E$24/4*X44</f>
        <v/>
      </c>
      <c r="K44" s="14">
        <f>Assumptions!$E$25/4*X44</f>
        <v/>
      </c>
      <c r="L44" s="14">
        <f>Assumptions!$E$26/4*X44</f>
        <v/>
      </c>
      <c r="M44" s="14">
        <f>Assumptions!$E$27/4*X44</f>
        <v/>
      </c>
      <c r="N44" s="14">
        <f>Assumptions!$E$28/4*X44</f>
        <v/>
      </c>
      <c r="O44" s="14">
        <f>IF(A44=0,Assumptions!$E$16+Assumptions!$E$31+Assumptions!$E$32,IF(A44=1,Assumptions!$E$15-Assumptions!$E$16,0))</f>
        <v/>
      </c>
      <c r="P44" s="14">
        <f>Assumptions!$E$29/4*X44</f>
        <v/>
      </c>
      <c r="Q44" s="14">
        <f>SUM(J44:P44)+Z44</f>
        <v/>
      </c>
      <c r="R44" s="14">
        <f>I44-Q44</f>
        <v/>
      </c>
      <c r="S44" s="14">
        <f>S43+R44</f>
        <v/>
      </c>
      <c r="T44" s="14">
        <f>IF(OR(A44=0,A44&gt;Assumptions!$E$12),0,D44*(1-Assumptions!$E$19)/Assumptions!$E$12+IF(A44=1+Assumptions!$E$8,Assumptions!$E$7*(1-Assumptions!$E$19)/Assumptions!$E$12*Assumptions!$E$8,0))+Y44</f>
        <v/>
      </c>
      <c r="U44" s="14">
        <f>IF(A44&gt;Assumptions!$E$12,V43*Assumptions!$E$23,0)</f>
        <v/>
      </c>
      <c r="V44" s="14">
        <f>V43*(1-IF(A44&gt;Assumptions!$E$12,Assumptions!$E$23,0))+T44</f>
        <v/>
      </c>
      <c r="W44" s="14">
        <f>IF(OR(A44=0,A44&gt;Assumptions!$E$13),0,Assumptions!$E$18/4)</f>
        <v/>
      </c>
      <c r="X44" s="15">
        <f>IF(A44=0,0,IF(A44&gt;Assumptions!$E$12,Assumptions!$E$30,1))</f>
        <v/>
      </c>
      <c r="Y44" s="14">
        <f>IF(AND(A44&gt;=9,A44&lt;=Assumptions!$E$12),Assumptions!$E$20*Assumptions!$E$10*Assumptions!$E$9*Assumptions!$E$12/4/(Assumptions!$E$12-8),0)</f>
        <v/>
      </c>
      <c r="Z44" s="14">
        <f>IF(Assumptions!$E$22=1,0,Assumptions!$E$21*(T44-Y44+F44+G44+W44))</f>
        <v/>
      </c>
    </row>
    <row r="45">
      <c r="A45" t="n">
        <v>40</v>
      </c>
      <c r="B45">
        <f>IF(A45=0,0,ROUNDUP(A45/4,0))</f>
        <v/>
      </c>
      <c r="C45">
        <f>IF(A45=0,"Pre-close","Y"&amp;B45&amp;" Q"&amp;(A45-(B45-1)*4))</f>
        <v/>
      </c>
      <c r="D45" s="14">
        <f>IF(A45=0,0,Assumptions!$E$6+IF(A45&gt;=1+Assumptions!$E$8,Assumptions!$E$7,0))</f>
        <v/>
      </c>
      <c r="E45" s="14">
        <f>IF(A45&lt;=Assumptions!$E$12,D45,V44)</f>
        <v/>
      </c>
      <c r="F45" s="14">
        <f>IF(OR(A45=0,A45&gt;Assumptions!$E$13),0,IF(A45&lt;=Assumptions!$E$12,Assumptions!$E$10,Assumptions!$E$11)*E45/4)-IF(Assumptions!$E$22=1,Assumptions!$E$21*(T45-Y45),0)</f>
        <v/>
      </c>
      <c r="G45" s="14">
        <f>IF(A45=1+Assumptions!$E$8,Assumptions!$E$7*Assumptions!$E$10*(Assumptions!$E$8/4)*(1+Assumptions!$E$14*(Assumptions!$E$8/4)/2),0)</f>
        <v/>
      </c>
      <c r="H45" s="14">
        <f>IF(A45=1,MIN(Assumptions!$E$15,Assumptions!$E$17*Assumptions!$E$6),IF(A45=1+Assumptions!$E$8,MIN(Assumptions!$E$15,Assumptions!$E$17*Assumptions!$E$9)-MIN(Assumptions!$E$15,Assumptions!$E$17*Assumptions!$E$6),0))</f>
        <v/>
      </c>
      <c r="I45" s="14">
        <f>F45+G45+H45</f>
        <v/>
      </c>
      <c r="J45" s="14">
        <f>Assumptions!$E$24/4*X45</f>
        <v/>
      </c>
      <c r="K45" s="14">
        <f>Assumptions!$E$25/4*X45</f>
        <v/>
      </c>
      <c r="L45" s="14">
        <f>Assumptions!$E$26/4*X45</f>
        <v/>
      </c>
      <c r="M45" s="14">
        <f>Assumptions!$E$27/4*X45</f>
        <v/>
      </c>
      <c r="N45" s="14">
        <f>Assumptions!$E$28/4*X45</f>
        <v/>
      </c>
      <c r="O45" s="14">
        <f>IF(A45=0,Assumptions!$E$16+Assumptions!$E$31+Assumptions!$E$32,IF(A45=1,Assumptions!$E$15-Assumptions!$E$16,0))</f>
        <v/>
      </c>
      <c r="P45" s="14">
        <f>Assumptions!$E$29/4*X45</f>
        <v/>
      </c>
      <c r="Q45" s="14">
        <f>SUM(J45:P45)+Z45</f>
        <v/>
      </c>
      <c r="R45" s="14">
        <f>I45-Q45</f>
        <v/>
      </c>
      <c r="S45" s="14">
        <f>S44+R45</f>
        <v/>
      </c>
      <c r="T45" s="14">
        <f>IF(OR(A45=0,A45&gt;Assumptions!$E$12),0,D45*(1-Assumptions!$E$19)/Assumptions!$E$12+IF(A45=1+Assumptions!$E$8,Assumptions!$E$7*(1-Assumptions!$E$19)/Assumptions!$E$12*Assumptions!$E$8,0))+Y45</f>
        <v/>
      </c>
      <c r="U45" s="14">
        <f>IF(A45&gt;Assumptions!$E$12,V44*Assumptions!$E$23,0)</f>
        <v/>
      </c>
      <c r="V45" s="14">
        <f>V44*(1-IF(A45&gt;Assumptions!$E$12,Assumptions!$E$23,0))+T45</f>
        <v/>
      </c>
      <c r="W45" s="14">
        <f>IF(OR(A45=0,A45&gt;Assumptions!$E$13),0,Assumptions!$E$18/4)</f>
        <v/>
      </c>
      <c r="X45" s="15">
        <f>IF(A45=0,0,IF(A45&gt;Assumptions!$E$12,Assumptions!$E$30,1))</f>
        <v/>
      </c>
      <c r="Y45" s="14">
        <f>IF(AND(A45&gt;=9,A45&lt;=Assumptions!$E$12),Assumptions!$E$20*Assumptions!$E$10*Assumptions!$E$9*Assumptions!$E$12/4/(Assumptions!$E$12-8),0)</f>
        <v/>
      </c>
      <c r="Z45" s="14">
        <f>IF(Assumptions!$E$22=1,0,Assumptions!$E$21*(T45-Y45+F45+G45+W45))</f>
        <v/>
      </c>
    </row>
    <row r="46">
      <c r="C46" s="7" t="inlineStr">
        <is>
          <t>TOTAL</t>
        </is>
      </c>
      <c r="F46" s="16">
        <f>SUM(F5:F45)</f>
        <v/>
      </c>
      <c r="G46" s="16">
        <f>SUM(G5:G45)</f>
        <v/>
      </c>
      <c r="H46" s="16">
        <f>SUM(H5:H45)</f>
        <v/>
      </c>
      <c r="I46" s="16">
        <f>SUM(I5:I45)</f>
        <v/>
      </c>
      <c r="J46" s="16">
        <f>SUM(J5:J45)</f>
        <v/>
      </c>
      <c r="K46" s="16">
        <f>SUM(K5:K45)</f>
        <v/>
      </c>
      <c r="L46" s="16">
        <f>SUM(L5:L45)</f>
        <v/>
      </c>
      <c r="M46" s="16">
        <f>SUM(M5:M45)</f>
        <v/>
      </c>
      <c r="N46" s="16">
        <f>SUM(N5:N45)</f>
        <v/>
      </c>
      <c r="O46" s="16">
        <f>SUM(O5:O45)</f>
        <v/>
      </c>
      <c r="P46" s="16">
        <f>SUM(P5:P45)</f>
        <v/>
      </c>
      <c r="Q46" s="16">
        <f>SUM(Q5:Q45)</f>
        <v/>
      </c>
      <c r="R46" s="16">
        <f>SUM(R5:R45)</f>
        <v/>
      </c>
      <c r="T46" s="16">
        <f>SUM(T5:T45)</f>
        <v/>
      </c>
      <c r="U46" s="16">
        <f>SUM(U5:U45)</f>
        <v/>
      </c>
      <c r="W46" s="16">
        <f>SUM(W5:W45)</f>
        <v/>
      </c>
      <c r="Y46" s="16">
        <f>SUM(Y5:Y45)</f>
        <v/>
      </c>
      <c r="Z46" s="16">
        <f>SUM(Z5:Z45)</f>
        <v/>
      </c>
    </row>
    <row r="48">
      <c r="A48" s="7" t="inlineStr">
        <is>
          <t>KEY FIGURES</t>
        </is>
      </c>
    </row>
    <row r="49">
      <c r="A49" t="inlineStr">
        <is>
          <t>Total commitments</t>
        </is>
      </c>
      <c r="B49" s="14">
        <f>Assumptions!$E$9</f>
        <v/>
      </c>
    </row>
    <row r="50">
      <c r="A50" t="inlineStr">
        <is>
          <t>Total management fees over fund life</t>
        </is>
      </c>
      <c r="B50" s="14">
        <f>F46+G46</f>
        <v/>
      </c>
    </row>
    <row r="51">
      <c r="A51" t="inlineStr">
        <is>
          <t>Management fees as % of commitments</t>
        </is>
      </c>
      <c r="B51" s="17">
        <f>(F46+G46)/Assumptions!$E$9</f>
        <v/>
      </c>
    </row>
    <row r="52">
      <c r="A52" t="inlineStr">
        <is>
          <t>Fund expenses over fund life (borne by fund)</t>
        </is>
      </c>
      <c r="B52" s="14">
        <f>W46</f>
        <v/>
      </c>
    </row>
    <row r="53">
      <c r="A53" t="inlineStr">
        <is>
          <t>Org. expenses reimbursed by fund</t>
        </is>
      </c>
      <c r="B53" s="14">
        <f>H46</f>
        <v/>
      </c>
    </row>
    <row r="54">
      <c r="A54" t="inlineStr">
        <is>
          <t>Org. expenses NOT reimbursed (GP cost)</t>
        </is>
      </c>
      <c r="B54" s="14">
        <f>Assumptions!$E$15-H46</f>
        <v/>
      </c>
    </row>
    <row r="55">
      <c r="A55" t="inlineStr">
        <is>
          <t>Total deployed incl. recycled proceeds</t>
        </is>
      </c>
      <c r="B55" s="14">
        <f>T46</f>
        <v/>
      </c>
    </row>
    <row r="56">
      <c r="A56" t="inlineStr">
        <is>
          <t>of which recycled proceeds</t>
        </is>
      </c>
      <c r="B56" s="14">
        <f>Y46</f>
        <v/>
      </c>
    </row>
    <row r="57">
      <c r="A57" t="inlineStr">
        <is>
          <t>Deployed from LP drawdowns as % of commitments</t>
        </is>
      </c>
      <c r="B57" s="17">
        <f>(T46-Y46)/Assumptions!$E$9</f>
        <v/>
      </c>
    </row>
    <row r="58">
      <c r="A58" t="inlineStr">
        <is>
          <t>GP commitment paid in cash over fund life</t>
        </is>
      </c>
      <c r="B58" s="14">
        <f>Z46</f>
        <v/>
      </c>
    </row>
    <row r="59">
      <c r="A59" t="inlineStr">
        <is>
          <t>Cash received by mgmt co on first-close day</t>
        </is>
      </c>
      <c r="B59" s="14">
        <f>I6</f>
        <v/>
      </c>
    </row>
    <row r="60">
      <c r="A60" t="inlineStr">
        <is>
          <t>Steady-state quarterly fee after final close</t>
        </is>
      </c>
      <c r="B60" s="14">
        <f>INDEX(F5:F45,2+Assumptions!$E$8)</f>
        <v/>
      </c>
    </row>
    <row r="61">
      <c r="A61" t="inlineStr">
        <is>
          <t>Lowest cumulative cash during investment period</t>
        </is>
      </c>
      <c r="B61" s="14">
        <f>MIN(S5:S25)</f>
        <v/>
      </c>
    </row>
    <row r="62">
      <c r="A62" t="inlineStr">
        <is>
          <t>Quarter of that low point</t>
        </is>
      </c>
      <c r="B62">
        <f>INDEX(C5:C45,MATCH(MIN(S5:S25),S5:S25,0))</f>
        <v/>
      </c>
    </row>
    <row r="63">
      <c r="A63" t="inlineStr">
        <is>
          <t>Lowest cumulative cash over full term</t>
        </is>
      </c>
      <c r="B63" s="14">
        <f>MIN(S5:S45)</f>
        <v/>
      </c>
    </row>
    <row r="64">
      <c r="A64" t="inlineStr">
        <is>
          <t>Cumulative cash at end of fund term (10 years)</t>
        </is>
      </c>
      <c r="B64" s="14">
        <f>S45</f>
        <v/>
      </c>
    </row>
    <row r="66">
      <c r="A66" s="7" t="inlineStr">
        <is>
          <t>LP VIEW — WHERE 1,000,000 OF COMMITMENT GOES</t>
        </is>
      </c>
    </row>
    <row r="67">
      <c r="A67" t="inlineStr">
        <is>
          <t>Management fees over 10 years (incl. equalisation)</t>
        </is>
      </c>
      <c r="B67" s="14">
        <f>(F46+G46)/Assumptions!$E$9*1000000</f>
        <v/>
      </c>
    </row>
    <row r="68">
      <c r="A68" t="inlineStr">
        <is>
          <t>Fund expenses</t>
        </is>
      </c>
      <c r="B68" s="14">
        <f>W46/Assumptions!$E$9*1000000</f>
        <v/>
      </c>
    </row>
    <row r="69">
      <c r="A69" t="inlineStr">
        <is>
          <t>Organisational expenses (capped)</t>
        </is>
      </c>
      <c r="B69" s="14">
        <f>H46/Assumptions!$E$9*1000000</f>
        <v/>
      </c>
    </row>
    <row r="70">
      <c r="A70" t="inlineStr">
        <is>
          <t>Invested into portfolio companies (from drawdowns)</t>
        </is>
      </c>
      <c r="B70" s="14">
        <f>1000000-B67-B68-B69</f>
        <v/>
      </c>
    </row>
    <row r="71">
      <c r="A71" t="inlineStr">
        <is>
          <t>Total = commitment</t>
        </is>
      </c>
      <c r="B71" s="14">
        <f>SUM(B67:B70)</f>
        <v/>
      </c>
    </row>
    <row r="72">
      <c r="A72" t="inlineStr">
        <is>
          <t>Plus recycled proceeds — total working in companies</t>
        </is>
      </c>
      <c r="B72" s="14">
        <f>B70+Y46/Assumptions!$E$9*1000000</f>
        <v/>
      </c>
    </row>
    <row r="73">
      <c r="A73" t="inlineStr">
        <is>
          <t>Catch-up paid by a 1,000,000 LP joining at final close</t>
        </is>
      </c>
      <c r="B73" s="14">
        <f>1000000*Assumptions!$E$10*(Assumptions!$E$8/4)*(1+Assumptions!$E$14*(Assumptions!$E$8/4)/2)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cols>
    <col width="52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</cols>
  <sheetData>
    <row r="1">
      <c r="A1" s="1" t="inlineStr">
        <is>
          <t>Carried interest by gross multiple — whole-fund European waterfall</t>
        </is>
      </c>
    </row>
    <row r="2">
      <c r="A2" t="inlineStr">
        <is>
          <t>20% carry · 6% preferred return · 100% catch-up · whole fund. Contributed capital comes from the Band.</t>
        </is>
      </c>
    </row>
    <row r="4">
      <c r="A4" t="inlineStr">
        <is>
          <t>Carried interest</t>
        </is>
      </c>
      <c r="B4" s="18" t="n">
        <v>0.2</v>
      </c>
    </row>
    <row r="5">
      <c r="A5" t="inlineStr">
        <is>
          <t>Hurdle A</t>
        </is>
      </c>
      <c r="B5" s="18" t="n">
        <v>0.06</v>
      </c>
    </row>
    <row r="6">
      <c r="A6" t="inlineStr">
        <is>
          <t>Hurdle B</t>
        </is>
      </c>
      <c r="B6" s="18" t="n">
        <v>0.08</v>
      </c>
    </row>
    <row r="7">
      <c r="A7" t="inlineStr">
        <is>
          <t>Partial catch-up rate</t>
        </is>
      </c>
      <c r="B7" s="18" t="n">
        <v>0.8</v>
      </c>
    </row>
    <row r="8">
      <c r="A8" t="inlineStr">
        <is>
          <t>Weighted holding period T (years)</t>
        </is>
      </c>
      <c r="B8" s="19" t="n">
        <v>6</v>
      </c>
    </row>
    <row r="10">
      <c r="A10" s="7" t="inlineStr">
        <is>
          <t>Contributed capital C</t>
        </is>
      </c>
      <c r="B10" s="2" t="inlineStr">
        <is>
          <t>Floor 20m</t>
        </is>
      </c>
      <c r="C10" s="2" t="inlineStr">
        <is>
          <t>Base 35m</t>
        </is>
      </c>
      <c r="D10" s="2" t="inlineStr">
        <is>
          <t>Ceiling 50m</t>
        </is>
      </c>
    </row>
    <row r="11">
      <c r="A11" t="inlineStr">
        <is>
          <t>C</t>
        </is>
      </c>
      <c r="B11" s="10">
        <f>Q_20m!B49</f>
        <v/>
      </c>
      <c r="C11" s="10">
        <f>Q_35m!B49</f>
        <v/>
      </c>
      <c r="D11" s="10">
        <f>Q_50m!B49</f>
        <v/>
      </c>
    </row>
    <row r="12">
      <c r="A12" t="inlineStr">
        <is>
          <t>H — preferred return owed at hurdle A</t>
        </is>
      </c>
      <c r="B12" s="10">
        <f>B11*((1+$B$5)^$B$8-1)</f>
        <v/>
      </c>
      <c r="C12" s="10">
        <f>C11*((1+$B$5)^$B$8-1)</f>
        <v/>
      </c>
      <c r="D12" s="10">
        <f>D11*((1+$B$5)^$B$8-1)</f>
        <v/>
      </c>
    </row>
    <row r="13">
      <c r="A13" t="inlineStr">
        <is>
          <t>H — preferred return owed at hurdle B</t>
        </is>
      </c>
      <c r="B13" s="10">
        <f>B11*((1+$B$6)^$B$8-1)</f>
        <v/>
      </c>
      <c r="C13" s="10">
        <f>C11*((1+$B$6)^$B$8-1)</f>
        <v/>
      </c>
      <c r="D13" s="10">
        <f>D11*((1+$B$6)^$B$8-1)</f>
        <v/>
      </c>
    </row>
    <row r="14">
      <c r="A14" t="inlineStr">
        <is>
          <t>Gross multiple at which the 100% catch-up completes — hurdle A</t>
        </is>
      </c>
      <c r="B14" s="15">
        <f>1+(1+$B$4/(1-$B$4))*((1+$B$5)^$B$8-1)</f>
        <v/>
      </c>
      <c r="E14" t="inlineStr">
        <is>
          <t>Independent of fund size</t>
        </is>
      </c>
    </row>
    <row r="15">
      <c r="A15" t="inlineStr">
        <is>
          <t>Gross multiple at which the 100% catch-up completes — hurdle B</t>
        </is>
      </c>
      <c r="B15" s="15">
        <f>1+(1+$B$4/(1-$B$4))*((1+$B$6)^$B$8-1)</f>
        <v/>
      </c>
    </row>
    <row r="17">
      <c r="A17" s="7" t="inlineStr">
        <is>
          <t>GP CARRIED INTEREST BY GROSS MULTIPLE — 6% hurdle, 100% catch-up</t>
        </is>
      </c>
    </row>
    <row r="18">
      <c r="A18" s="2" t="inlineStr">
        <is>
          <t>Gross multiple</t>
        </is>
      </c>
      <c r="B18" s="2" t="inlineStr">
        <is>
          <t>Floor 20m</t>
        </is>
      </c>
      <c r="C18" s="2" t="inlineStr">
        <is>
          <t>Base 35m</t>
        </is>
      </c>
      <c r="D18" s="2" t="inlineStr">
        <is>
          <t>Ceiling 50m</t>
        </is>
      </c>
    </row>
    <row r="19">
      <c r="A19" s="15" t="n">
        <v>1</v>
      </c>
      <c r="B19" s="10">
        <f>IF(B$11*($A19-1)&lt;=B$12,0,IF(B$11*($A19-1)-B$12&lt;=($B$4*B$12/(1-$B$4)),B$11*($A19-1)-B$12,$B$4*B$11*($A19-1)))</f>
        <v/>
      </c>
      <c r="C19" s="10">
        <f>IF(C$11*($A19-1)&lt;=C$12,0,IF(C$11*($A19-1)-C$12&lt;=($B$4*C$12/(1-$B$4)),C$11*($A19-1)-C$12,$B$4*C$11*($A19-1)))</f>
        <v/>
      </c>
      <c r="D19" s="10">
        <f>IF(D$11*($A19-1)&lt;=D$12,0,IF(D$11*($A19-1)-D$12&lt;=($B$4*D$12/(1-$B$4)),D$11*($A19-1)-D$12,$B$4*D$11*($A19-1)))</f>
        <v/>
      </c>
    </row>
    <row r="20">
      <c r="A20" s="15" t="n">
        <v>1.2</v>
      </c>
      <c r="B20" s="10">
        <f>IF(B$11*($A20-1)&lt;=B$12,0,IF(B$11*($A20-1)-B$12&lt;=($B$4*B$12/(1-$B$4)),B$11*($A20-1)-B$12,$B$4*B$11*($A20-1)))</f>
        <v/>
      </c>
      <c r="C20" s="10">
        <f>IF(C$11*($A20-1)&lt;=C$12,0,IF(C$11*($A20-1)-C$12&lt;=($B$4*C$12/(1-$B$4)),C$11*($A20-1)-C$12,$B$4*C$11*($A20-1)))</f>
        <v/>
      </c>
      <c r="D20" s="10">
        <f>IF(D$11*($A20-1)&lt;=D$12,0,IF(D$11*($A20-1)-D$12&lt;=($B$4*D$12/(1-$B$4)),D$11*($A20-1)-D$12,$B$4*D$11*($A20-1)))</f>
        <v/>
      </c>
    </row>
    <row r="21">
      <c r="A21" s="15" t="n">
        <v>1.4</v>
      </c>
      <c r="B21" s="10">
        <f>IF(B$11*($A21-1)&lt;=B$12,0,IF(B$11*($A21-1)-B$12&lt;=($B$4*B$12/(1-$B$4)),B$11*($A21-1)-B$12,$B$4*B$11*($A21-1)))</f>
        <v/>
      </c>
      <c r="C21" s="10">
        <f>IF(C$11*($A21-1)&lt;=C$12,0,IF(C$11*($A21-1)-C$12&lt;=($B$4*C$12/(1-$B$4)),C$11*($A21-1)-C$12,$B$4*C$11*($A21-1)))</f>
        <v/>
      </c>
      <c r="D21" s="10">
        <f>IF(D$11*($A21-1)&lt;=D$12,0,IF(D$11*($A21-1)-D$12&lt;=($B$4*D$12/(1-$B$4)),D$11*($A21-1)-D$12,$B$4*D$11*($A21-1)))</f>
        <v/>
      </c>
    </row>
    <row r="22">
      <c r="A22" s="15" t="n">
        <v>1.5</v>
      </c>
      <c r="B22" s="10">
        <f>IF(B$11*($A22-1)&lt;=B$12,0,IF(B$11*($A22-1)-B$12&lt;=($B$4*B$12/(1-$B$4)),B$11*($A22-1)-B$12,$B$4*B$11*($A22-1)))</f>
        <v/>
      </c>
      <c r="C22" s="10">
        <f>IF(C$11*($A22-1)&lt;=C$12,0,IF(C$11*($A22-1)-C$12&lt;=($B$4*C$12/(1-$B$4)),C$11*($A22-1)-C$12,$B$4*C$11*($A22-1)))</f>
        <v/>
      </c>
      <c r="D22" s="10">
        <f>IF(D$11*($A22-1)&lt;=D$12,0,IF(D$11*($A22-1)-D$12&lt;=($B$4*D$12/(1-$B$4)),D$11*($A22-1)-D$12,$B$4*D$11*($A22-1)))</f>
        <v/>
      </c>
    </row>
    <row r="23">
      <c r="A23" s="15" t="n">
        <v>1.6</v>
      </c>
      <c r="B23" s="10">
        <f>IF(B$11*($A23-1)&lt;=B$12,0,IF(B$11*($A23-1)-B$12&lt;=($B$4*B$12/(1-$B$4)),B$11*($A23-1)-B$12,$B$4*B$11*($A23-1)))</f>
        <v/>
      </c>
      <c r="C23" s="10">
        <f>IF(C$11*($A23-1)&lt;=C$12,0,IF(C$11*($A23-1)-C$12&lt;=($B$4*C$12/(1-$B$4)),C$11*($A23-1)-C$12,$B$4*C$11*($A23-1)))</f>
        <v/>
      </c>
      <c r="D23" s="10">
        <f>IF(D$11*($A23-1)&lt;=D$12,0,IF(D$11*($A23-1)-D$12&lt;=($B$4*D$12/(1-$B$4)),D$11*($A23-1)-D$12,$B$4*D$11*($A23-1)))</f>
        <v/>
      </c>
    </row>
    <row r="24">
      <c r="A24" s="15" t="n">
        <v>1.8</v>
      </c>
      <c r="B24" s="10">
        <f>IF(B$11*($A24-1)&lt;=B$12,0,IF(B$11*($A24-1)-B$12&lt;=($B$4*B$12/(1-$B$4)),B$11*($A24-1)-B$12,$B$4*B$11*($A24-1)))</f>
        <v/>
      </c>
      <c r="C24" s="10">
        <f>IF(C$11*($A24-1)&lt;=C$12,0,IF(C$11*($A24-1)-C$12&lt;=($B$4*C$12/(1-$B$4)),C$11*($A24-1)-C$12,$B$4*C$11*($A24-1)))</f>
        <v/>
      </c>
      <c r="D24" s="10">
        <f>IF(D$11*($A24-1)&lt;=D$12,0,IF(D$11*($A24-1)-D$12&lt;=($B$4*D$12/(1-$B$4)),D$11*($A24-1)-D$12,$B$4*D$11*($A24-1)))</f>
        <v/>
      </c>
    </row>
    <row r="25">
      <c r="A25" s="15" t="n">
        <v>2</v>
      </c>
      <c r="B25" s="10">
        <f>IF(B$11*($A25-1)&lt;=B$12,0,IF(B$11*($A25-1)-B$12&lt;=($B$4*B$12/(1-$B$4)),B$11*($A25-1)-B$12,$B$4*B$11*($A25-1)))</f>
        <v/>
      </c>
      <c r="C25" s="10">
        <f>IF(C$11*($A25-1)&lt;=C$12,0,IF(C$11*($A25-1)-C$12&lt;=($B$4*C$12/(1-$B$4)),C$11*($A25-1)-C$12,$B$4*C$11*($A25-1)))</f>
        <v/>
      </c>
      <c r="D25" s="10">
        <f>IF(D$11*($A25-1)&lt;=D$12,0,IF(D$11*($A25-1)-D$12&lt;=($B$4*D$12/(1-$B$4)),D$11*($A25-1)-D$12,$B$4*D$11*($A25-1)))</f>
        <v/>
      </c>
    </row>
    <row r="26">
      <c r="A26" s="15" t="n">
        <v>2.5</v>
      </c>
      <c r="B26" s="10">
        <f>IF(B$11*($A26-1)&lt;=B$12,0,IF(B$11*($A26-1)-B$12&lt;=($B$4*B$12/(1-$B$4)),B$11*($A26-1)-B$12,$B$4*B$11*($A26-1)))</f>
        <v/>
      </c>
      <c r="C26" s="10">
        <f>IF(C$11*($A26-1)&lt;=C$12,0,IF(C$11*($A26-1)-C$12&lt;=($B$4*C$12/(1-$B$4)),C$11*($A26-1)-C$12,$B$4*C$11*($A26-1)))</f>
        <v/>
      </c>
      <c r="D26" s="10">
        <f>IF(D$11*($A26-1)&lt;=D$12,0,IF(D$11*($A26-1)-D$12&lt;=($B$4*D$12/(1-$B$4)),D$11*($A26-1)-D$12,$B$4*D$11*($A26-1)))</f>
        <v/>
      </c>
    </row>
    <row r="27">
      <c r="A27" s="15" t="n">
        <v>3</v>
      </c>
      <c r="B27" s="10">
        <f>IF(B$11*($A27-1)&lt;=B$12,0,IF(B$11*($A27-1)-B$12&lt;=($B$4*B$12/(1-$B$4)),B$11*($A27-1)-B$12,$B$4*B$11*($A27-1)))</f>
        <v/>
      </c>
      <c r="C27" s="10">
        <f>IF(C$11*($A27-1)&lt;=C$12,0,IF(C$11*($A27-1)-C$12&lt;=($B$4*C$12/(1-$B$4)),C$11*($A27-1)-C$12,$B$4*C$11*($A27-1)))</f>
        <v/>
      </c>
      <c r="D27" s="10">
        <f>IF(D$11*($A27-1)&lt;=D$12,0,IF(D$11*($A27-1)-D$12&lt;=($B$4*D$12/(1-$B$4)),D$11*($A27-1)-D$12,$B$4*D$11*($A27-1)))</f>
        <v/>
      </c>
    </row>
    <row r="28">
      <c r="A28" s="15" t="n">
        <v>3.5</v>
      </c>
      <c r="B28" s="10">
        <f>IF(B$11*($A28-1)&lt;=B$12,0,IF(B$11*($A28-1)-B$12&lt;=($B$4*B$12/(1-$B$4)),B$11*($A28-1)-B$12,$B$4*B$11*($A28-1)))</f>
        <v/>
      </c>
      <c r="C28" s="10">
        <f>IF(C$11*($A28-1)&lt;=C$12,0,IF(C$11*($A28-1)-C$12&lt;=($B$4*C$12/(1-$B$4)),C$11*($A28-1)-C$12,$B$4*C$11*($A28-1)))</f>
        <v/>
      </c>
      <c r="D28" s="10">
        <f>IF(D$11*($A28-1)&lt;=D$12,0,IF(D$11*($A28-1)-D$12&lt;=($B$4*D$12/(1-$B$4)),D$11*($A28-1)-D$12,$B$4*D$11*($A28-1)))</f>
        <v/>
      </c>
    </row>
    <row r="31">
      <c r="A31" s="7" t="inlineStr">
        <is>
          <t>WATERFALL VARIANTS AT THE BASE CASE (35m) — what each hurdle design costs the GP</t>
        </is>
      </c>
    </row>
    <row r="32">
      <c r="A32" s="20" t="inlineStr">
        <is>
          <t>Gross multiple</t>
        </is>
      </c>
      <c r="B32" s="20" t="inlineStr">
        <is>
          <t>Profit P</t>
        </is>
      </c>
      <c r="C32" s="20" t="inlineStr">
        <is>
          <t>No hurdle</t>
        </is>
      </c>
      <c r="D32" s="20" t="inlineStr">
        <is>
          <t>6% + 100% catch-up</t>
        </is>
      </c>
      <c r="E32" s="20" t="inlineStr">
        <is>
          <t>6% + 80% catch-up</t>
        </is>
      </c>
      <c r="F32" s="20" t="inlineStr">
        <is>
          <t>6% hard hurdle</t>
        </is>
      </c>
      <c r="G32" s="20" t="inlineStr">
        <is>
          <t>8% + 100% catch-up</t>
        </is>
      </c>
      <c r="H32" s="20" t="inlineStr">
        <is>
          <t>8% hard hurdle</t>
        </is>
      </c>
    </row>
    <row r="33">
      <c r="A33" s="15" t="n">
        <v>1</v>
      </c>
      <c r="B33" s="10">
        <f>$C$11*(A33-1)</f>
        <v/>
      </c>
      <c r="C33" s="10">
        <f>MAX(0,$B$4*B33)</f>
        <v/>
      </c>
      <c r="D33" s="10">
        <f>IF(B33&lt;=$C$12,0,IF(B33-$C$12&lt;=($B$4*$C$12/(1-$B$4)),B33-$C$12,$B$4*B33))</f>
        <v/>
      </c>
      <c r="E33" s="10">
        <f>IF(B33&lt;=$C$12,0,IF(B33-$C$12&lt;=($B$4*$C$12/($B$7-$B$4)),$B$7*(B33-$C$12),$B$4*B33))</f>
        <v/>
      </c>
      <c r="F33" s="10">
        <f>MAX(0,$B$4*(B33-$C$12))</f>
        <v/>
      </c>
      <c r="G33" s="10">
        <f>IF(B33&lt;=$C$13,0,IF(B33-$C$13&lt;=($B$4*$C$13/(1-$B$4)),B33-$C$13,$B$4*B33))</f>
        <v/>
      </c>
      <c r="H33" s="10">
        <f>MAX(0,$B$4*(B33-$C$13))</f>
        <v/>
      </c>
    </row>
    <row r="34">
      <c r="A34" s="15" t="n">
        <v>1.2</v>
      </c>
      <c r="B34" s="10">
        <f>$C$11*(A34-1)</f>
        <v/>
      </c>
      <c r="C34" s="10">
        <f>MAX(0,$B$4*B34)</f>
        <v/>
      </c>
      <c r="D34" s="10">
        <f>IF(B34&lt;=$C$12,0,IF(B34-$C$12&lt;=($B$4*$C$12/(1-$B$4)),B34-$C$12,$B$4*B34))</f>
        <v/>
      </c>
      <c r="E34" s="10">
        <f>IF(B34&lt;=$C$12,0,IF(B34-$C$12&lt;=($B$4*$C$12/($B$7-$B$4)),$B$7*(B34-$C$12),$B$4*B34))</f>
        <v/>
      </c>
      <c r="F34" s="10">
        <f>MAX(0,$B$4*(B34-$C$12))</f>
        <v/>
      </c>
      <c r="G34" s="10">
        <f>IF(B34&lt;=$C$13,0,IF(B34-$C$13&lt;=($B$4*$C$13/(1-$B$4)),B34-$C$13,$B$4*B34))</f>
        <v/>
      </c>
      <c r="H34" s="10">
        <f>MAX(0,$B$4*(B34-$C$13))</f>
        <v/>
      </c>
    </row>
    <row r="35">
      <c r="A35" s="15" t="n">
        <v>1.4</v>
      </c>
      <c r="B35" s="10">
        <f>$C$11*(A35-1)</f>
        <v/>
      </c>
      <c r="C35" s="10">
        <f>MAX(0,$B$4*B35)</f>
        <v/>
      </c>
      <c r="D35" s="10">
        <f>IF(B35&lt;=$C$12,0,IF(B35-$C$12&lt;=($B$4*$C$12/(1-$B$4)),B35-$C$12,$B$4*B35))</f>
        <v/>
      </c>
      <c r="E35" s="10">
        <f>IF(B35&lt;=$C$12,0,IF(B35-$C$12&lt;=($B$4*$C$12/($B$7-$B$4)),$B$7*(B35-$C$12),$B$4*B35))</f>
        <v/>
      </c>
      <c r="F35" s="10">
        <f>MAX(0,$B$4*(B35-$C$12))</f>
        <v/>
      </c>
      <c r="G35" s="10">
        <f>IF(B35&lt;=$C$13,0,IF(B35-$C$13&lt;=($B$4*$C$13/(1-$B$4)),B35-$C$13,$B$4*B35))</f>
        <v/>
      </c>
      <c r="H35" s="10">
        <f>MAX(0,$B$4*(B35-$C$13))</f>
        <v/>
      </c>
    </row>
    <row r="36">
      <c r="A36" s="15" t="n">
        <v>1.5</v>
      </c>
      <c r="B36" s="10">
        <f>$C$11*(A36-1)</f>
        <v/>
      </c>
      <c r="C36" s="10">
        <f>MAX(0,$B$4*B36)</f>
        <v/>
      </c>
      <c r="D36" s="10">
        <f>IF(B36&lt;=$C$12,0,IF(B36-$C$12&lt;=($B$4*$C$12/(1-$B$4)),B36-$C$12,$B$4*B36))</f>
        <v/>
      </c>
      <c r="E36" s="10">
        <f>IF(B36&lt;=$C$12,0,IF(B36-$C$12&lt;=($B$4*$C$12/($B$7-$B$4)),$B$7*(B36-$C$12),$B$4*B36))</f>
        <v/>
      </c>
      <c r="F36" s="10">
        <f>MAX(0,$B$4*(B36-$C$12))</f>
        <v/>
      </c>
      <c r="G36" s="10">
        <f>IF(B36&lt;=$C$13,0,IF(B36-$C$13&lt;=($B$4*$C$13/(1-$B$4)),B36-$C$13,$B$4*B36))</f>
        <v/>
      </c>
      <c r="H36" s="10">
        <f>MAX(0,$B$4*(B36-$C$13))</f>
        <v/>
      </c>
    </row>
    <row r="37">
      <c r="A37" s="15" t="n">
        <v>1.6</v>
      </c>
      <c r="B37" s="10">
        <f>$C$11*(A37-1)</f>
        <v/>
      </c>
      <c r="C37" s="10">
        <f>MAX(0,$B$4*B37)</f>
        <v/>
      </c>
      <c r="D37" s="10">
        <f>IF(B37&lt;=$C$12,0,IF(B37-$C$12&lt;=($B$4*$C$12/(1-$B$4)),B37-$C$12,$B$4*B37))</f>
        <v/>
      </c>
      <c r="E37" s="10">
        <f>IF(B37&lt;=$C$12,0,IF(B37-$C$12&lt;=($B$4*$C$12/($B$7-$B$4)),$B$7*(B37-$C$12),$B$4*B37))</f>
        <v/>
      </c>
      <c r="F37" s="10">
        <f>MAX(0,$B$4*(B37-$C$12))</f>
        <v/>
      </c>
      <c r="G37" s="10">
        <f>IF(B37&lt;=$C$13,0,IF(B37-$C$13&lt;=($B$4*$C$13/(1-$B$4)),B37-$C$13,$B$4*B37))</f>
        <v/>
      </c>
      <c r="H37" s="10">
        <f>MAX(0,$B$4*(B37-$C$13))</f>
        <v/>
      </c>
    </row>
    <row r="38">
      <c r="A38" s="15" t="n">
        <v>1.8</v>
      </c>
      <c r="B38" s="10">
        <f>$C$11*(A38-1)</f>
        <v/>
      </c>
      <c r="C38" s="10">
        <f>MAX(0,$B$4*B38)</f>
        <v/>
      </c>
      <c r="D38" s="10">
        <f>IF(B38&lt;=$C$12,0,IF(B38-$C$12&lt;=($B$4*$C$12/(1-$B$4)),B38-$C$12,$B$4*B38))</f>
        <v/>
      </c>
      <c r="E38" s="10">
        <f>IF(B38&lt;=$C$12,0,IF(B38-$C$12&lt;=($B$4*$C$12/($B$7-$B$4)),$B$7*(B38-$C$12),$B$4*B38))</f>
        <v/>
      </c>
      <c r="F38" s="10">
        <f>MAX(0,$B$4*(B38-$C$12))</f>
        <v/>
      </c>
      <c r="G38" s="10">
        <f>IF(B38&lt;=$C$13,0,IF(B38-$C$13&lt;=($B$4*$C$13/(1-$B$4)),B38-$C$13,$B$4*B38))</f>
        <v/>
      </c>
      <c r="H38" s="10">
        <f>MAX(0,$B$4*(B38-$C$13))</f>
        <v/>
      </c>
    </row>
    <row r="39">
      <c r="A39" s="15" t="n">
        <v>2</v>
      </c>
      <c r="B39" s="10">
        <f>$C$11*(A39-1)</f>
        <v/>
      </c>
      <c r="C39" s="10">
        <f>MAX(0,$B$4*B39)</f>
        <v/>
      </c>
      <c r="D39" s="10">
        <f>IF(B39&lt;=$C$12,0,IF(B39-$C$12&lt;=($B$4*$C$12/(1-$B$4)),B39-$C$12,$B$4*B39))</f>
        <v/>
      </c>
      <c r="E39" s="10">
        <f>IF(B39&lt;=$C$12,0,IF(B39-$C$12&lt;=($B$4*$C$12/($B$7-$B$4)),$B$7*(B39-$C$12),$B$4*B39))</f>
        <v/>
      </c>
      <c r="F39" s="10">
        <f>MAX(0,$B$4*(B39-$C$12))</f>
        <v/>
      </c>
      <c r="G39" s="10">
        <f>IF(B39&lt;=$C$13,0,IF(B39-$C$13&lt;=($B$4*$C$13/(1-$B$4)),B39-$C$13,$B$4*B39))</f>
        <v/>
      </c>
      <c r="H39" s="10">
        <f>MAX(0,$B$4*(B39-$C$13))</f>
        <v/>
      </c>
    </row>
    <row r="40">
      <c r="A40" s="15" t="n">
        <v>2.5</v>
      </c>
      <c r="B40" s="10">
        <f>$C$11*(A40-1)</f>
        <v/>
      </c>
      <c r="C40" s="10">
        <f>MAX(0,$B$4*B40)</f>
        <v/>
      </c>
      <c r="D40" s="10">
        <f>IF(B40&lt;=$C$12,0,IF(B40-$C$12&lt;=($B$4*$C$12/(1-$B$4)),B40-$C$12,$B$4*B40))</f>
        <v/>
      </c>
      <c r="E40" s="10">
        <f>IF(B40&lt;=$C$12,0,IF(B40-$C$12&lt;=($B$4*$C$12/($B$7-$B$4)),$B$7*(B40-$C$12),$B$4*B40))</f>
        <v/>
      </c>
      <c r="F40" s="10">
        <f>MAX(0,$B$4*(B40-$C$12))</f>
        <v/>
      </c>
      <c r="G40" s="10">
        <f>IF(B40&lt;=$C$13,0,IF(B40-$C$13&lt;=($B$4*$C$13/(1-$B$4)),B40-$C$13,$B$4*B40))</f>
        <v/>
      </c>
      <c r="H40" s="10">
        <f>MAX(0,$B$4*(B40-$C$13))</f>
        <v/>
      </c>
    </row>
    <row r="41">
      <c r="A41" s="15" t="n">
        <v>3</v>
      </c>
      <c r="B41" s="10">
        <f>$C$11*(A41-1)</f>
        <v/>
      </c>
      <c r="C41" s="10">
        <f>MAX(0,$B$4*B41)</f>
        <v/>
      </c>
      <c r="D41" s="10">
        <f>IF(B41&lt;=$C$12,0,IF(B41-$C$12&lt;=($B$4*$C$12/(1-$B$4)),B41-$C$12,$B$4*B41))</f>
        <v/>
      </c>
      <c r="E41" s="10">
        <f>IF(B41&lt;=$C$12,0,IF(B41-$C$12&lt;=($B$4*$C$12/($B$7-$B$4)),$B$7*(B41-$C$12),$B$4*B41))</f>
        <v/>
      </c>
      <c r="F41" s="10">
        <f>MAX(0,$B$4*(B41-$C$12))</f>
        <v/>
      </c>
      <c r="G41" s="10">
        <f>IF(B41&lt;=$C$13,0,IF(B41-$C$13&lt;=($B$4*$C$13/(1-$B$4)),B41-$C$13,$B$4*B41))</f>
        <v/>
      </c>
      <c r="H41" s="10">
        <f>MAX(0,$B$4*(B41-$C$13))</f>
        <v/>
      </c>
    </row>
    <row r="42">
      <c r="A42" s="15" t="n">
        <v>3.5</v>
      </c>
      <c r="B42" s="10">
        <f>$C$11*(A42-1)</f>
        <v/>
      </c>
      <c r="C42" s="10">
        <f>MAX(0,$B$4*B42)</f>
        <v/>
      </c>
      <c r="D42" s="10">
        <f>IF(B42&lt;=$C$12,0,IF(B42-$C$12&lt;=($B$4*$C$12/(1-$B$4)),B42-$C$12,$B$4*B42))</f>
        <v/>
      </c>
      <c r="E42" s="10">
        <f>IF(B42&lt;=$C$12,0,IF(B42-$C$12&lt;=($B$4*$C$12/($B$7-$B$4)),$B$7*(B42-$C$12),$B$4*B42))</f>
        <v/>
      </c>
      <c r="F42" s="10">
        <f>MAX(0,$B$4*(B42-$C$12))</f>
        <v/>
      </c>
      <c r="G42" s="10">
        <f>IF(B42&lt;=$C$13,0,IF(B42-$C$13&lt;=($B$4*$C$13/(1-$B$4)),B42-$C$13,$B$4*B42))</f>
        <v/>
      </c>
      <c r="H42" s="10">
        <f>MAX(0,$B$4*(B42-$C$13))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2026-09-07T01:49:27Z</dcterms:created>
  <dcterms:modified xmlns:dcterms="http://purl.org/dc/terms/" xmlns:xsi="http://www.w3.org/2001/XMLSchema-instance" xsi:type="dcterms:W3CDTF">2026-09-07T01:49:27Z</dcterms:modified>
</cp:coreProperties>
</file>